
<file path=[Content_Types].xml><?xml version="1.0" encoding="utf-8"?>
<Types xmlns="http://schemas.openxmlformats.org/package/2006/content-types">
  <Default Extension="bin" ContentType="application/vnd.openxmlformats-officedocument.spreadsheetml.printerSettings"/>
  <Default Extension="tmp"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c\Progetto di Strutture in zona Sismica Ghersi\Fogli di Calcolo\"/>
    </mc:Choice>
  </mc:AlternateContent>
  <bookViews>
    <workbookView xWindow="0" yWindow="0" windowWidth="19200" windowHeight="7905" tabRatio="917"/>
  </bookViews>
  <sheets>
    <sheet name="Carichi unitari" sheetId="24" r:id="rId1"/>
    <sheet name="Dati (CD&quot;A&quot;)" sheetId="23" r:id="rId2"/>
    <sheet name="Analisi dei Carichi F.O." sheetId="25" r:id="rId3"/>
    <sheet name="Forze Orizzontali CD&quot;A&quot;" sheetId="20" r:id="rId4"/>
    <sheet name="Dimensionamento CD&quot;A&quot;" sheetId="32" r:id="rId5"/>
    <sheet name="Campate  del 1° 2° 3° impalcato" sheetId="29" r:id="rId6"/>
    <sheet name="Campate del 4° 5° impalcato" sheetId="30" r:id="rId7"/>
    <sheet name="Campate  del 6° impalcato" sheetId="31" r:id="rId8"/>
    <sheet name=" PIL del 1° 2° 3° impalcato" sheetId="26" r:id="rId9"/>
    <sheet name=" PIL del 4° 5° impalcato" sheetId="27" r:id="rId10"/>
    <sheet name=" PIL del 6° impalcato " sheetId="28" r:id="rId11"/>
  </sheets>
  <externalReferences>
    <externalReference r:id="rId12"/>
    <externalReference r:id="rId13"/>
    <externalReference r:id="rId14"/>
    <externalReference r:id="rId15"/>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 i="31" l="1"/>
  <c r="H32" i="31"/>
  <c r="M32" i="31"/>
  <c r="R32" i="31"/>
  <c r="W32" i="31"/>
  <c r="W11" i="31"/>
  <c r="R11" i="31"/>
  <c r="M11" i="31"/>
  <c r="H11" i="31"/>
  <c r="C11" i="31"/>
  <c r="AC9" i="31"/>
  <c r="M45" i="28"/>
  <c r="H45" i="28"/>
  <c r="C45" i="28"/>
  <c r="W33" i="28"/>
  <c r="R33" i="28"/>
  <c r="M33" i="28"/>
  <c r="C9" i="28"/>
  <c r="C21" i="28"/>
  <c r="W9" i="28"/>
  <c r="R9" i="28"/>
  <c r="M9" i="28"/>
  <c r="H9" i="28"/>
  <c r="AF9" i="28"/>
  <c r="AC9" i="28"/>
  <c r="AC10" i="28"/>
  <c r="AC11" i="28"/>
  <c r="AC12" i="28"/>
  <c r="AC13" i="28"/>
  <c r="AC14" i="28"/>
  <c r="AC15" i="28"/>
  <c r="AC7" i="28"/>
  <c r="AC8" i="28"/>
  <c r="AC7" i="27"/>
  <c r="AC8" i="27"/>
  <c r="AC9" i="27"/>
  <c r="AC10" i="27"/>
  <c r="AC11" i="27"/>
  <c r="AC12" i="27"/>
  <c r="AC13" i="27"/>
  <c r="AC14" i="27"/>
  <c r="AC15" i="27"/>
  <c r="AC7" i="26"/>
  <c r="AC8" i="26"/>
  <c r="AC9" i="26"/>
  <c r="AC10" i="26"/>
  <c r="AC11" i="26"/>
  <c r="AC12" i="26"/>
  <c r="AC13" i="26"/>
  <c r="AC14" i="26"/>
  <c r="AC15" i="26"/>
  <c r="AC7" i="31"/>
  <c r="AC8" i="31"/>
  <c r="AC10" i="31"/>
  <c r="AC11" i="31"/>
  <c r="AC12" i="31"/>
  <c r="AC13" i="31"/>
  <c r="AC14" i="31"/>
  <c r="AC15" i="31"/>
  <c r="AC7" i="30"/>
  <c r="AC8" i="30"/>
  <c r="AC9" i="30"/>
  <c r="AC10" i="30"/>
  <c r="AC11" i="30"/>
  <c r="AC12" i="30"/>
  <c r="AC13" i="30"/>
  <c r="AC14" i="30"/>
  <c r="AC15" i="30"/>
  <c r="AC15" i="29"/>
  <c r="AC14" i="29"/>
  <c r="AC13" i="29"/>
  <c r="AC12" i="29"/>
  <c r="AC11" i="29"/>
  <c r="AC10" i="29"/>
  <c r="AC9" i="29"/>
  <c r="AC8" i="29"/>
  <c r="AC7" i="29"/>
  <c r="AF7" i="29"/>
  <c r="AH7" i="29"/>
  <c r="J33" i="24"/>
  <c r="J25" i="24"/>
  <c r="AG7" i="29" l="1"/>
  <c r="AI7" i="29" s="1"/>
  <c r="E42" i="32"/>
  <c r="F42" i="32"/>
  <c r="D26" i="32"/>
  <c r="E31" i="32"/>
  <c r="F31" i="32"/>
  <c r="AF2" i="32"/>
  <c r="K3" i="32"/>
  <c r="L3" i="32"/>
  <c r="M3" i="32"/>
  <c r="D12" i="32" s="1"/>
  <c r="N3" i="32"/>
  <c r="E12" i="32" s="1"/>
  <c r="O3" i="32"/>
  <c r="P3" i="32"/>
  <c r="Q3" i="32"/>
  <c r="C4" i="32"/>
  <c r="D4" i="32"/>
  <c r="K4" i="32"/>
  <c r="L4" i="32"/>
  <c r="C13" i="32" s="1"/>
  <c r="AD4" i="32"/>
  <c r="AD5" i="32" s="1"/>
  <c r="AE4" i="32"/>
  <c r="C5" i="32"/>
  <c r="L5" i="32" s="1"/>
  <c r="K5" i="32"/>
  <c r="AE5" i="32"/>
  <c r="AE6" i="32" s="1"/>
  <c r="C6" i="32"/>
  <c r="L6" i="32" s="1"/>
  <c r="C15" i="32" s="1"/>
  <c r="K6" i="32"/>
  <c r="C7" i="32"/>
  <c r="L7" i="32" s="1"/>
  <c r="C16" i="32" s="1"/>
  <c r="K7" i="32"/>
  <c r="C8" i="32"/>
  <c r="K8" i="32"/>
  <c r="L8" i="32"/>
  <c r="C9" i="32"/>
  <c r="K9" i="32"/>
  <c r="L9" i="32"/>
  <c r="C18" i="32" s="1"/>
  <c r="K10" i="32"/>
  <c r="C12" i="32"/>
  <c r="H12" i="32"/>
  <c r="C14" i="32"/>
  <c r="C17" i="32"/>
  <c r="R24" i="32"/>
  <c r="R25" i="32"/>
  <c r="R26" i="32"/>
  <c r="J40" i="32"/>
  <c r="K42" i="32" s="1"/>
  <c r="O41" i="32"/>
  <c r="O42" i="32"/>
  <c r="E44" i="32"/>
  <c r="F44" i="32"/>
  <c r="I36" i="31"/>
  <c r="O13" i="31"/>
  <c r="T10" i="31"/>
  <c r="AG14" i="31"/>
  <c r="AI14" i="31" s="1"/>
  <c r="AF14" i="31"/>
  <c r="AG13" i="31"/>
  <c r="AI13" i="31" s="1"/>
  <c r="AF13" i="31"/>
  <c r="AG12" i="31"/>
  <c r="AI12" i="31" s="1"/>
  <c r="AI15" i="31" s="1"/>
  <c r="AF12" i="31"/>
  <c r="AF15" i="31" s="1"/>
  <c r="AG11" i="31"/>
  <c r="AI11" i="31" s="1"/>
  <c r="N58" i="31" s="1"/>
  <c r="AF11" i="31"/>
  <c r="AD47" i="31" s="1"/>
  <c r="AH10" i="31"/>
  <c r="AG10" i="31"/>
  <c r="AI10" i="31" s="1"/>
  <c r="AC46" i="31" s="1"/>
  <c r="AF10" i="31"/>
  <c r="J33" i="31" s="1"/>
  <c r="AH9" i="31"/>
  <c r="AH8" i="31"/>
  <c r="AF8" i="31"/>
  <c r="Y21" i="31" s="1"/>
  <c r="AH7" i="31"/>
  <c r="AG7" i="31"/>
  <c r="AI7" i="31" s="1"/>
  <c r="AF7" i="31"/>
  <c r="T15" i="31"/>
  <c r="AG14" i="30"/>
  <c r="AI14" i="30" s="1"/>
  <c r="AD60" i="31"/>
  <c r="AC60" i="31" s="1"/>
  <c r="Y60" i="31"/>
  <c r="X60" i="31" s="1"/>
  <c r="T60" i="31"/>
  <c r="S60" i="31" s="1"/>
  <c r="O60" i="31"/>
  <c r="N60" i="31" s="1"/>
  <c r="J60" i="31"/>
  <c r="I60" i="31" s="1"/>
  <c r="E60" i="31"/>
  <c r="D60" i="31" s="1"/>
  <c r="T57" i="31"/>
  <c r="S57" i="31"/>
  <c r="J57" i="31"/>
  <c r="I57" i="31"/>
  <c r="T56" i="31"/>
  <c r="S56" i="31"/>
  <c r="J56" i="31"/>
  <c r="I56" i="31"/>
  <c r="AD49" i="31"/>
  <c r="AC49" i="31"/>
  <c r="Y49" i="31"/>
  <c r="X49" i="31" s="1"/>
  <c r="T49" i="31"/>
  <c r="S49" i="31"/>
  <c r="O49" i="31"/>
  <c r="N49" i="31" s="1"/>
  <c r="J49" i="31"/>
  <c r="I49" i="31"/>
  <c r="E49" i="31"/>
  <c r="D49" i="31" s="1"/>
  <c r="Y36" i="31"/>
  <c r="X36" i="31" s="1"/>
  <c r="T36" i="31"/>
  <c r="S36" i="31"/>
  <c r="O36" i="31"/>
  <c r="N36" i="31" s="1"/>
  <c r="J36" i="31"/>
  <c r="E36" i="31"/>
  <c r="D36" i="31" s="1"/>
  <c r="W31" i="31"/>
  <c r="R31" i="31"/>
  <c r="M31" i="31"/>
  <c r="H31" i="31"/>
  <c r="C31" i="31"/>
  <c r="Y26" i="31"/>
  <c r="X26" i="31"/>
  <c r="T26" i="31"/>
  <c r="S26" i="31" s="1"/>
  <c r="O26" i="31"/>
  <c r="N26" i="31"/>
  <c r="J26" i="31"/>
  <c r="I26" i="31" s="1"/>
  <c r="E26" i="31"/>
  <c r="D26" i="31"/>
  <c r="W21" i="31"/>
  <c r="R21" i="31"/>
  <c r="M21" i="31"/>
  <c r="H21" i="31"/>
  <c r="C21" i="31"/>
  <c r="Y15" i="31"/>
  <c r="X15" i="31"/>
  <c r="S15" i="31"/>
  <c r="O15" i="31"/>
  <c r="N15" i="31"/>
  <c r="J15" i="31"/>
  <c r="I15" i="31" s="1"/>
  <c r="E15" i="31"/>
  <c r="D15" i="31"/>
  <c r="W10" i="31"/>
  <c r="R10" i="31"/>
  <c r="H10" i="31"/>
  <c r="C10" i="31"/>
  <c r="E58" i="30"/>
  <c r="O58" i="30"/>
  <c r="AD47" i="30"/>
  <c r="T47" i="30"/>
  <c r="O47" i="30"/>
  <c r="E47" i="30"/>
  <c r="E34" i="30"/>
  <c r="O34" i="30"/>
  <c r="T34" i="30"/>
  <c r="Y34" i="30"/>
  <c r="O24" i="30"/>
  <c r="T13" i="30"/>
  <c r="O13" i="30"/>
  <c r="J13" i="30"/>
  <c r="E13" i="30"/>
  <c r="AD56" i="30"/>
  <c r="S44" i="30"/>
  <c r="Y32" i="30"/>
  <c r="O22" i="30"/>
  <c r="S10" i="30"/>
  <c r="Y13" i="30"/>
  <c r="AF14" i="30"/>
  <c r="AG13" i="30"/>
  <c r="AI13" i="30" s="1"/>
  <c r="AF13" i="30"/>
  <c r="AG12" i="30"/>
  <c r="AI12" i="30" s="1"/>
  <c r="AI15" i="30" s="1"/>
  <c r="AF12" i="30"/>
  <c r="AF15" i="30" s="1"/>
  <c r="AG15" i="30"/>
  <c r="AG11" i="30"/>
  <c r="AI11" i="30" s="1"/>
  <c r="AF11" i="30"/>
  <c r="AH10" i="30"/>
  <c r="AG10" i="30"/>
  <c r="AI10" i="30" s="1"/>
  <c r="AH9" i="30"/>
  <c r="AF9" i="30"/>
  <c r="AH8" i="30"/>
  <c r="AG8" i="30"/>
  <c r="AI8" i="30" s="1"/>
  <c r="AH7" i="30"/>
  <c r="AG7" i="30"/>
  <c r="AI7" i="30" s="1"/>
  <c r="I55" i="30" s="1"/>
  <c r="AD60" i="30"/>
  <c r="AC60" i="30"/>
  <c r="Y60" i="30"/>
  <c r="X60" i="30"/>
  <c r="T60" i="30"/>
  <c r="S60" i="30"/>
  <c r="O60" i="30"/>
  <c r="N60" i="30"/>
  <c r="J60" i="30"/>
  <c r="I60" i="30"/>
  <c r="E60" i="30"/>
  <c r="D60" i="30"/>
  <c r="AD49" i="30"/>
  <c r="AC49" i="30"/>
  <c r="Y49" i="30"/>
  <c r="X49" i="30"/>
  <c r="T49" i="30"/>
  <c r="S49" i="30"/>
  <c r="O49" i="30"/>
  <c r="N49" i="30"/>
  <c r="J49" i="30"/>
  <c r="I49" i="30"/>
  <c r="E49" i="30"/>
  <c r="D49" i="30"/>
  <c r="Y36" i="30"/>
  <c r="X36" i="30" s="1"/>
  <c r="T36" i="30"/>
  <c r="S36" i="30"/>
  <c r="O36" i="30"/>
  <c r="N36" i="30" s="1"/>
  <c r="J36" i="30"/>
  <c r="I36" i="30"/>
  <c r="E36" i="30"/>
  <c r="D36" i="30" s="1"/>
  <c r="W31" i="30"/>
  <c r="R31" i="30"/>
  <c r="M31" i="30"/>
  <c r="H31" i="30"/>
  <c r="C31" i="30"/>
  <c r="Y26" i="30"/>
  <c r="X26" i="30" s="1"/>
  <c r="T26" i="30"/>
  <c r="S26" i="30"/>
  <c r="O26" i="30"/>
  <c r="N26" i="30" s="1"/>
  <c r="J26" i="30"/>
  <c r="I26" i="30"/>
  <c r="E26" i="30"/>
  <c r="D26" i="30" s="1"/>
  <c r="M23" i="30"/>
  <c r="W21" i="30"/>
  <c r="R21" i="30"/>
  <c r="M21" i="30"/>
  <c r="H21" i="30"/>
  <c r="C21" i="30"/>
  <c r="Y15" i="30"/>
  <c r="X15" i="30" s="1"/>
  <c r="T15" i="30"/>
  <c r="S15" i="30"/>
  <c r="O15" i="30"/>
  <c r="N15" i="30" s="1"/>
  <c r="J15" i="30"/>
  <c r="I15" i="30" s="1"/>
  <c r="E15" i="30"/>
  <c r="D15" i="30" s="1"/>
  <c r="M12" i="30"/>
  <c r="W10" i="30"/>
  <c r="R10" i="30"/>
  <c r="H10" i="30"/>
  <c r="C10" i="30"/>
  <c r="I53" i="29"/>
  <c r="S35" i="29"/>
  <c r="T35" i="29"/>
  <c r="S36" i="29"/>
  <c r="T36" i="29"/>
  <c r="S37" i="29"/>
  <c r="T37" i="29"/>
  <c r="AG14" i="29"/>
  <c r="AI14" i="29" s="1"/>
  <c r="AG13" i="29"/>
  <c r="AI13" i="29" s="1"/>
  <c r="AG12" i="29"/>
  <c r="AI12" i="29" s="1"/>
  <c r="AI15" i="29" s="1"/>
  <c r="AG11" i="29"/>
  <c r="AI11" i="29" s="1"/>
  <c r="X17" i="29" s="1"/>
  <c r="AF11" i="29"/>
  <c r="O62" i="29" s="1"/>
  <c r="AH10" i="29"/>
  <c r="AG10" i="29"/>
  <c r="AI10" i="29" s="1"/>
  <c r="AH9" i="29"/>
  <c r="AG9" i="29"/>
  <c r="AI9" i="29" s="1"/>
  <c r="AC60" i="29" s="1"/>
  <c r="AH8" i="29"/>
  <c r="N59" i="29"/>
  <c r="AG7" i="27"/>
  <c r="AI7" i="27" s="1"/>
  <c r="AF7" i="27"/>
  <c r="AH7" i="27"/>
  <c r="AF8" i="27"/>
  <c r="AH8" i="27"/>
  <c r="AF9" i="27"/>
  <c r="AG9" i="27"/>
  <c r="AI9" i="27" s="1"/>
  <c r="AH9" i="27"/>
  <c r="AF10" i="27"/>
  <c r="AG10" i="27"/>
  <c r="AI10" i="27" s="1"/>
  <c r="AH10" i="27"/>
  <c r="AF11" i="27"/>
  <c r="E12" i="27" s="1"/>
  <c r="AG11" i="27"/>
  <c r="AI11" i="27" s="1"/>
  <c r="AF12" i="27"/>
  <c r="AF15" i="27" s="1"/>
  <c r="AG12" i="27"/>
  <c r="AI12" i="27" s="1"/>
  <c r="AI15" i="27" s="1"/>
  <c r="AF13" i="27"/>
  <c r="AG13" i="27"/>
  <c r="AI13" i="27" s="1"/>
  <c r="AF14" i="27"/>
  <c r="AG14" i="27"/>
  <c r="AI14" i="27" s="1"/>
  <c r="AF10" i="26"/>
  <c r="AH10" i="26"/>
  <c r="AH8" i="26"/>
  <c r="AH9" i="26"/>
  <c r="AH7" i="26"/>
  <c r="AG10" i="26"/>
  <c r="AG11" i="26"/>
  <c r="AI11" i="26" s="1"/>
  <c r="AF11" i="26"/>
  <c r="O36" i="26" s="1"/>
  <c r="AG9" i="26"/>
  <c r="AF8" i="26"/>
  <c r="AF7" i="26"/>
  <c r="AD64" i="29"/>
  <c r="AC64" i="29" s="1"/>
  <c r="Y64" i="29"/>
  <c r="X64" i="29"/>
  <c r="T64" i="29"/>
  <c r="S64" i="29" s="1"/>
  <c r="O64" i="29"/>
  <c r="N64" i="29" s="1"/>
  <c r="J64" i="29"/>
  <c r="I64" i="29" s="1"/>
  <c r="E64" i="29"/>
  <c r="D64" i="29" s="1"/>
  <c r="AD53" i="29"/>
  <c r="AC53" i="29" s="1"/>
  <c r="Y53" i="29"/>
  <c r="X53" i="29"/>
  <c r="T53" i="29"/>
  <c r="S53" i="29" s="1"/>
  <c r="O53" i="29"/>
  <c r="N53" i="29"/>
  <c r="J53" i="29"/>
  <c r="E53" i="29"/>
  <c r="D53" i="29" s="1"/>
  <c r="Y40" i="29"/>
  <c r="X40" i="29"/>
  <c r="T40" i="29"/>
  <c r="S40" i="29" s="1"/>
  <c r="O40" i="29"/>
  <c r="N40" i="29"/>
  <c r="J40" i="29"/>
  <c r="I40" i="29" s="1"/>
  <c r="E40" i="29"/>
  <c r="D40" i="29"/>
  <c r="W35" i="29"/>
  <c r="R35" i="29"/>
  <c r="M35" i="29"/>
  <c r="H35" i="29"/>
  <c r="C35" i="29"/>
  <c r="Y30" i="29"/>
  <c r="X30" i="29"/>
  <c r="T30" i="29"/>
  <c r="S30" i="29" s="1"/>
  <c r="O30" i="29"/>
  <c r="N30" i="29" s="1"/>
  <c r="J30" i="29"/>
  <c r="I30" i="29" s="1"/>
  <c r="E30" i="29"/>
  <c r="D30" i="29" s="1"/>
  <c r="M27" i="29"/>
  <c r="W25" i="29"/>
  <c r="R25" i="29"/>
  <c r="M25" i="29"/>
  <c r="H25" i="29"/>
  <c r="C25" i="29"/>
  <c r="Y19" i="29"/>
  <c r="X19" i="29" s="1"/>
  <c r="T19" i="29"/>
  <c r="S19" i="29" s="1"/>
  <c r="O19" i="29"/>
  <c r="N19" i="29" s="1"/>
  <c r="J19" i="29"/>
  <c r="I19" i="29" s="1"/>
  <c r="E19" i="29"/>
  <c r="D19" i="29" s="1"/>
  <c r="M16" i="29"/>
  <c r="W14" i="29"/>
  <c r="R14" i="29"/>
  <c r="H14" i="29"/>
  <c r="C14" i="29"/>
  <c r="H49" i="28"/>
  <c r="O48" i="28"/>
  <c r="M48" i="28"/>
  <c r="H47" i="28"/>
  <c r="M46" i="28"/>
  <c r="H46" i="28"/>
  <c r="C46" i="28"/>
  <c r="M44" i="28"/>
  <c r="H44" i="28"/>
  <c r="C44" i="28"/>
  <c r="E37" i="28"/>
  <c r="Y36" i="28"/>
  <c r="H36" i="28"/>
  <c r="R35" i="28"/>
  <c r="C35" i="28"/>
  <c r="W34" i="28"/>
  <c r="R34" i="28"/>
  <c r="M34" i="28"/>
  <c r="H34" i="28"/>
  <c r="C34" i="28"/>
  <c r="W32" i="28"/>
  <c r="R32" i="28"/>
  <c r="M32" i="28"/>
  <c r="H32" i="28"/>
  <c r="C32" i="28"/>
  <c r="O25" i="28"/>
  <c r="W24" i="28"/>
  <c r="C24" i="28"/>
  <c r="O23" i="28"/>
  <c r="M23" i="28"/>
  <c r="W22" i="28"/>
  <c r="R22" i="28"/>
  <c r="M22" i="28"/>
  <c r="H22" i="28"/>
  <c r="C22" i="28"/>
  <c r="W20" i="28"/>
  <c r="R20" i="28"/>
  <c r="M20" i="28"/>
  <c r="H20" i="28"/>
  <c r="C20" i="28"/>
  <c r="AG13" i="28"/>
  <c r="AI13" i="28" s="1"/>
  <c r="AF13" i="28"/>
  <c r="J11" i="28" s="1"/>
  <c r="Y13" i="28"/>
  <c r="W13" i="28"/>
  <c r="H13" i="28"/>
  <c r="AG12" i="28"/>
  <c r="AI12" i="28" s="1"/>
  <c r="AI15" i="28" s="1"/>
  <c r="AF12" i="28"/>
  <c r="AF15" i="28" s="1"/>
  <c r="J22" i="28" s="1"/>
  <c r="T12" i="28"/>
  <c r="R12" i="28"/>
  <c r="E12" i="28"/>
  <c r="C12" i="28"/>
  <c r="AG11" i="28"/>
  <c r="AI11" i="28" s="1"/>
  <c r="N36" i="28" s="1"/>
  <c r="AF11" i="28"/>
  <c r="J49" i="28" s="1"/>
  <c r="Y11" i="28"/>
  <c r="W11" i="28"/>
  <c r="H11" i="28"/>
  <c r="AH10" i="28"/>
  <c r="AF10" i="28"/>
  <c r="O47" i="28" s="1"/>
  <c r="W10" i="28"/>
  <c r="R10" i="28"/>
  <c r="M10" i="28"/>
  <c r="H10" i="28"/>
  <c r="C10" i="28"/>
  <c r="AH9" i="28"/>
  <c r="O21" i="28"/>
  <c r="AH8" i="28"/>
  <c r="AF8" i="28"/>
  <c r="W8" i="28"/>
  <c r="R8" i="28"/>
  <c r="M8" i="28"/>
  <c r="H8" i="28"/>
  <c r="C8" i="28"/>
  <c r="AH7" i="28"/>
  <c r="AG7" i="28"/>
  <c r="AI7" i="28" s="1"/>
  <c r="C3" i="28"/>
  <c r="E48" i="27"/>
  <c r="H47" i="27"/>
  <c r="C47" i="27"/>
  <c r="M46" i="27"/>
  <c r="H46" i="27"/>
  <c r="C46" i="27"/>
  <c r="H45" i="27"/>
  <c r="C45" i="27"/>
  <c r="M44" i="27"/>
  <c r="H44" i="27"/>
  <c r="C44" i="27"/>
  <c r="W35" i="27"/>
  <c r="R35" i="27"/>
  <c r="C35" i="27"/>
  <c r="W34" i="27"/>
  <c r="R34" i="27"/>
  <c r="M34" i="27"/>
  <c r="H34" i="27"/>
  <c r="C34" i="27"/>
  <c r="W33" i="27"/>
  <c r="R33" i="27"/>
  <c r="W32" i="27"/>
  <c r="R32" i="27"/>
  <c r="M32" i="27"/>
  <c r="H32" i="27"/>
  <c r="C32" i="27"/>
  <c r="W23" i="27"/>
  <c r="R23" i="27"/>
  <c r="M23" i="27"/>
  <c r="W22" i="27"/>
  <c r="R22" i="27"/>
  <c r="M22" i="27"/>
  <c r="H22" i="27"/>
  <c r="C22" i="27"/>
  <c r="W20" i="27"/>
  <c r="R20" i="27"/>
  <c r="M20" i="27"/>
  <c r="H20" i="27"/>
  <c r="C20" i="27"/>
  <c r="W11" i="27"/>
  <c r="H11" i="27"/>
  <c r="W10" i="27"/>
  <c r="R10" i="27"/>
  <c r="M10" i="27"/>
  <c r="H10" i="27"/>
  <c r="C10" i="27"/>
  <c r="W9" i="27"/>
  <c r="R9" i="27"/>
  <c r="M9" i="27"/>
  <c r="H9" i="27"/>
  <c r="W8" i="27"/>
  <c r="R8" i="27"/>
  <c r="M8" i="27"/>
  <c r="H8" i="27"/>
  <c r="C8" i="27"/>
  <c r="C3" i="27"/>
  <c r="H47" i="26"/>
  <c r="C47" i="26"/>
  <c r="M46" i="26"/>
  <c r="H46" i="26"/>
  <c r="C46" i="26"/>
  <c r="H45" i="26"/>
  <c r="C45" i="26"/>
  <c r="M44" i="26"/>
  <c r="H44" i="26"/>
  <c r="C44" i="26"/>
  <c r="W35" i="26"/>
  <c r="R35" i="26"/>
  <c r="C35" i="26"/>
  <c r="W34" i="26"/>
  <c r="R34" i="26"/>
  <c r="M34" i="26"/>
  <c r="H34" i="26"/>
  <c r="C34" i="26"/>
  <c r="W33" i="26"/>
  <c r="R33" i="26"/>
  <c r="W32" i="26"/>
  <c r="R32" i="26"/>
  <c r="M32" i="26"/>
  <c r="H32" i="26"/>
  <c r="C32" i="26"/>
  <c r="W23" i="26"/>
  <c r="R23" i="26"/>
  <c r="M23" i="26"/>
  <c r="W22" i="26"/>
  <c r="R22" i="26"/>
  <c r="M22" i="26"/>
  <c r="H22" i="26"/>
  <c r="C22" i="26"/>
  <c r="W20" i="26"/>
  <c r="R20" i="26"/>
  <c r="M20" i="26"/>
  <c r="H20" i="26"/>
  <c r="C20" i="26"/>
  <c r="W11" i="26"/>
  <c r="H11" i="26"/>
  <c r="W10" i="26"/>
  <c r="R10" i="26"/>
  <c r="M10" i="26"/>
  <c r="H10" i="26"/>
  <c r="C10" i="26"/>
  <c r="W9" i="26"/>
  <c r="R9" i="26"/>
  <c r="M9" i="26"/>
  <c r="H9" i="26"/>
  <c r="W8" i="26"/>
  <c r="R8" i="26"/>
  <c r="M8" i="26"/>
  <c r="H8" i="26"/>
  <c r="C8" i="26"/>
  <c r="C3" i="26"/>
  <c r="C48" i="26" s="1"/>
  <c r="Y9" i="28" l="1"/>
  <c r="J46" i="28"/>
  <c r="O34" i="28"/>
  <c r="Y24" i="28"/>
  <c r="T35" i="28"/>
  <c r="T37" i="28"/>
  <c r="O12" i="28"/>
  <c r="J24" i="28"/>
  <c r="J36" i="28"/>
  <c r="E48" i="28"/>
  <c r="J24" i="27"/>
  <c r="J36" i="27"/>
  <c r="O21" i="31"/>
  <c r="O44" i="31"/>
  <c r="AD57" i="31"/>
  <c r="N34" i="31"/>
  <c r="D23" i="31"/>
  <c r="N33" i="31"/>
  <c r="O55" i="31"/>
  <c r="D58" i="31"/>
  <c r="N12" i="31"/>
  <c r="I23" i="31"/>
  <c r="X33" i="31"/>
  <c r="I33" i="31"/>
  <c r="X46" i="31"/>
  <c r="E13" i="31"/>
  <c r="Y34" i="31"/>
  <c r="D34" i="31"/>
  <c r="J12" i="31"/>
  <c r="T33" i="31"/>
  <c r="AC58" i="31"/>
  <c r="T12" i="31"/>
  <c r="Y23" i="31"/>
  <c r="Y44" i="31"/>
  <c r="N24" i="31"/>
  <c r="X12" i="31"/>
  <c r="I12" i="31"/>
  <c r="J23" i="31"/>
  <c r="T31" i="31"/>
  <c r="E44" i="31"/>
  <c r="AC57" i="31"/>
  <c r="I13" i="31"/>
  <c r="S34" i="31"/>
  <c r="S47" i="31"/>
  <c r="E34" i="31"/>
  <c r="T47" i="31"/>
  <c r="AD58" i="31"/>
  <c r="E58" i="31"/>
  <c r="Y13" i="31"/>
  <c r="O46" i="31"/>
  <c r="Y46" i="31"/>
  <c r="J13" i="31"/>
  <c r="O24" i="31"/>
  <c r="T34" i="31"/>
  <c r="I34" i="31"/>
  <c r="D47" i="31"/>
  <c r="AC47" i="31"/>
  <c r="O58" i="31"/>
  <c r="X13" i="31"/>
  <c r="J10" i="31"/>
  <c r="E23" i="31"/>
  <c r="S33" i="31"/>
  <c r="S46" i="31"/>
  <c r="D13" i="31"/>
  <c r="N13" i="31"/>
  <c r="X34" i="31"/>
  <c r="O34" i="31"/>
  <c r="J34" i="31"/>
  <c r="E47" i="31"/>
  <c r="D13" i="30"/>
  <c r="N13" i="30"/>
  <c r="N24" i="30"/>
  <c r="S34" i="30"/>
  <c r="D34" i="30"/>
  <c r="N47" i="30"/>
  <c r="AC47" i="30"/>
  <c r="D58" i="30"/>
  <c r="I13" i="30"/>
  <c r="S13" i="30"/>
  <c r="X34" i="30"/>
  <c r="N34" i="30"/>
  <c r="D47" i="30"/>
  <c r="S47" i="30"/>
  <c r="N58" i="30"/>
  <c r="X13" i="30"/>
  <c r="I31" i="30"/>
  <c r="O28" i="29"/>
  <c r="T38" i="29"/>
  <c r="T51" i="29"/>
  <c r="D15" i="29"/>
  <c r="I36" i="29"/>
  <c r="AD62" i="29"/>
  <c r="X15" i="29"/>
  <c r="T17" i="29"/>
  <c r="J38" i="29"/>
  <c r="E62" i="29"/>
  <c r="Y17" i="29"/>
  <c r="J17" i="29"/>
  <c r="F29" i="32" s="1"/>
  <c r="E51" i="29"/>
  <c r="S17" i="29"/>
  <c r="I17" i="29"/>
  <c r="E29" i="32" s="1"/>
  <c r="N28" i="29"/>
  <c r="S38" i="29"/>
  <c r="S39" i="29" s="1"/>
  <c r="S41" i="29" s="1"/>
  <c r="AG37" i="29" s="1"/>
  <c r="I38" i="29"/>
  <c r="D51" i="29"/>
  <c r="S51" i="29"/>
  <c r="AC62" i="29"/>
  <c r="D62" i="29"/>
  <c r="N17" i="29"/>
  <c r="D17" i="29"/>
  <c r="X38" i="29"/>
  <c r="N38" i="29"/>
  <c r="D38" i="29"/>
  <c r="N51" i="29"/>
  <c r="AC51" i="29"/>
  <c r="N62" i="29"/>
  <c r="O17" i="29"/>
  <c r="E17" i="29"/>
  <c r="Y38" i="29"/>
  <c r="O38" i="29"/>
  <c r="E38" i="29"/>
  <c r="O51" i="29"/>
  <c r="AD51" i="29"/>
  <c r="I48" i="29"/>
  <c r="N25" i="29"/>
  <c r="J44" i="28"/>
  <c r="Y32" i="28"/>
  <c r="O32" i="28"/>
  <c r="E32" i="28"/>
  <c r="E20" i="28"/>
  <c r="O20" i="28"/>
  <c r="Y20" i="28"/>
  <c r="Y8" i="28"/>
  <c r="J8" i="28"/>
  <c r="E44" i="28"/>
  <c r="O44" i="28"/>
  <c r="T32" i="28"/>
  <c r="J32" i="28"/>
  <c r="J20" i="28"/>
  <c r="E8" i="28"/>
  <c r="O8" i="28"/>
  <c r="T20" i="28"/>
  <c r="T8" i="28"/>
  <c r="I46" i="30"/>
  <c r="X33" i="30"/>
  <c r="N33" i="30"/>
  <c r="D33" i="30"/>
  <c r="S23" i="30"/>
  <c r="D57" i="30"/>
  <c r="I57" i="30"/>
  <c r="S46" i="30"/>
  <c r="N46" i="30"/>
  <c r="I33" i="30"/>
  <c r="I23" i="30"/>
  <c r="S12" i="30"/>
  <c r="X12" i="30"/>
  <c r="N57" i="30"/>
  <c r="S57" i="30"/>
  <c r="D23" i="30"/>
  <c r="N12" i="30"/>
  <c r="I12" i="30"/>
  <c r="X57" i="30"/>
  <c r="D46" i="30"/>
  <c r="D12" i="30"/>
  <c r="AC46" i="30"/>
  <c r="S33" i="30"/>
  <c r="AC57" i="30"/>
  <c r="N23" i="30"/>
  <c r="X46" i="30"/>
  <c r="X23" i="30"/>
  <c r="I61" i="29"/>
  <c r="E41" i="32" s="1"/>
  <c r="S61" i="29"/>
  <c r="AC61" i="29"/>
  <c r="X50" i="29"/>
  <c r="N50" i="29"/>
  <c r="D50" i="29"/>
  <c r="I37" i="29"/>
  <c r="X37" i="29"/>
  <c r="S27" i="29"/>
  <c r="I27" i="29"/>
  <c r="D16" i="29"/>
  <c r="N16" i="29"/>
  <c r="X16" i="29"/>
  <c r="S16" i="29"/>
  <c r="X27" i="29"/>
  <c r="S50" i="29"/>
  <c r="D61" i="29"/>
  <c r="AG9" i="31"/>
  <c r="AI9" i="31" s="1"/>
  <c r="AF9" i="31"/>
  <c r="AF7" i="28"/>
  <c r="AG8" i="28"/>
  <c r="AI8" i="28" s="1"/>
  <c r="I59" i="29"/>
  <c r="E39" i="32" s="1"/>
  <c r="S59" i="29"/>
  <c r="AC59" i="29"/>
  <c r="X48" i="29"/>
  <c r="N48" i="29"/>
  <c r="D48" i="29"/>
  <c r="I35" i="29"/>
  <c r="X35" i="29"/>
  <c r="S25" i="29"/>
  <c r="I25" i="29"/>
  <c r="D14" i="29"/>
  <c r="N14" i="29"/>
  <c r="D60" i="29"/>
  <c r="N60" i="29"/>
  <c r="X60" i="29"/>
  <c r="AC49" i="29"/>
  <c r="S49" i="29"/>
  <c r="I49" i="29"/>
  <c r="D36" i="29"/>
  <c r="N36" i="29"/>
  <c r="X26" i="29"/>
  <c r="N26" i="29"/>
  <c r="D26" i="29"/>
  <c r="I15" i="29"/>
  <c r="E27" i="32" s="1"/>
  <c r="S15" i="29"/>
  <c r="S14" i="29"/>
  <c r="I16" i="29"/>
  <c r="E28" i="32" s="1"/>
  <c r="I26" i="29"/>
  <c r="X25" i="29"/>
  <c r="N37" i="29"/>
  <c r="D49" i="29"/>
  <c r="S48" i="29"/>
  <c r="AC50" i="29"/>
  <c r="S60" i="29"/>
  <c r="D59" i="29"/>
  <c r="I44" i="30"/>
  <c r="X31" i="30"/>
  <c r="N31" i="30"/>
  <c r="D31" i="30"/>
  <c r="S21" i="30"/>
  <c r="N55" i="30"/>
  <c r="S55" i="30"/>
  <c r="D21" i="30"/>
  <c r="N10" i="30"/>
  <c r="I10" i="30"/>
  <c r="X55" i="30"/>
  <c r="AC55" i="30"/>
  <c r="D44" i="30"/>
  <c r="I21" i="30"/>
  <c r="N21" i="30"/>
  <c r="E56" i="30"/>
  <c r="O56" i="30"/>
  <c r="Y56" i="30"/>
  <c r="AD45" i="30"/>
  <c r="T45" i="30"/>
  <c r="O11" i="30"/>
  <c r="Y45" i="30"/>
  <c r="T32" i="30"/>
  <c r="O32" i="30"/>
  <c r="Y22" i="30"/>
  <c r="Y11" i="30"/>
  <c r="J56" i="30"/>
  <c r="O45" i="30"/>
  <c r="J32" i="30"/>
  <c r="E32" i="30"/>
  <c r="T11" i="30"/>
  <c r="AF10" i="30"/>
  <c r="X10" i="30"/>
  <c r="D10" i="30"/>
  <c r="J11" i="30"/>
  <c r="E22" i="30"/>
  <c r="S31" i="30"/>
  <c r="J45" i="30"/>
  <c r="AC44" i="30"/>
  <c r="T56" i="30"/>
  <c r="AF9" i="29"/>
  <c r="I14" i="29"/>
  <c r="E26" i="32" s="1"/>
  <c r="D27" i="29"/>
  <c r="S26" i="29"/>
  <c r="N35" i="29"/>
  <c r="D37" i="29"/>
  <c r="N49" i="29"/>
  <c r="AC48" i="29"/>
  <c r="X61" i="29"/>
  <c r="I60" i="29"/>
  <c r="AG9" i="30"/>
  <c r="AI9" i="30" s="1"/>
  <c r="E11" i="30"/>
  <c r="T22" i="30"/>
  <c r="J22" i="30"/>
  <c r="E45" i="30"/>
  <c r="N44" i="30"/>
  <c r="D55" i="30"/>
  <c r="AF8" i="29"/>
  <c r="AG8" i="29"/>
  <c r="AI8" i="29" s="1"/>
  <c r="X14" i="29"/>
  <c r="N15" i="29"/>
  <c r="D25" i="29"/>
  <c r="N27" i="29"/>
  <c r="X36" i="29"/>
  <c r="D35" i="29"/>
  <c r="I50" i="29"/>
  <c r="X49" i="29"/>
  <c r="X59" i="29"/>
  <c r="N61" i="29"/>
  <c r="X21" i="30"/>
  <c r="X44" i="30"/>
  <c r="D57" i="31"/>
  <c r="N46" i="31"/>
  <c r="I46" i="31"/>
  <c r="X23" i="31"/>
  <c r="S23" i="31"/>
  <c r="S12" i="31"/>
  <c r="N57" i="31"/>
  <c r="X57" i="31"/>
  <c r="D46" i="31"/>
  <c r="D33" i="31"/>
  <c r="N23" i="31"/>
  <c r="D12" i="31"/>
  <c r="E55" i="31"/>
  <c r="Y55" i="31"/>
  <c r="AD44" i="31"/>
  <c r="T44" i="31"/>
  <c r="J44" i="31"/>
  <c r="E31" i="31"/>
  <c r="O31" i="31"/>
  <c r="Y31" i="31"/>
  <c r="T21" i="31"/>
  <c r="E10" i="31"/>
  <c r="J55" i="31" s="1"/>
  <c r="J59" i="31" s="1"/>
  <c r="J61" i="31" s="1"/>
  <c r="AM45" i="31" s="1"/>
  <c r="O10" i="31"/>
  <c r="Y10" i="31"/>
  <c r="E57" i="31"/>
  <c r="Y57" i="31"/>
  <c r="AD46" i="31"/>
  <c r="T46" i="31"/>
  <c r="J46" i="31"/>
  <c r="E33" i="31"/>
  <c r="O33" i="31"/>
  <c r="Y33" i="31"/>
  <c r="T23" i="31"/>
  <c r="E12" i="31"/>
  <c r="O12" i="31"/>
  <c r="Y12" i="31"/>
  <c r="E21" i="31"/>
  <c r="J21" i="31"/>
  <c r="O23" i="31"/>
  <c r="J31" i="31"/>
  <c r="E46" i="31"/>
  <c r="AD55" i="31"/>
  <c r="O57" i="31"/>
  <c r="D5" i="32"/>
  <c r="D6" i="32" s="1"/>
  <c r="AE7" i="32"/>
  <c r="E5" i="32"/>
  <c r="AD6" i="32"/>
  <c r="M4" i="32"/>
  <c r="D13" i="32" s="1"/>
  <c r="E4" i="32"/>
  <c r="AG8" i="31"/>
  <c r="AI8" i="31" s="1"/>
  <c r="AG15" i="31"/>
  <c r="AF7" i="30"/>
  <c r="AF8" i="30"/>
  <c r="AG15" i="29"/>
  <c r="AF10" i="29"/>
  <c r="AF12" i="29"/>
  <c r="AF15" i="29" s="1"/>
  <c r="AF13" i="29"/>
  <c r="AF14" i="29"/>
  <c r="AG8" i="26"/>
  <c r="AI8" i="26" s="1"/>
  <c r="M48" i="26"/>
  <c r="AF9" i="26"/>
  <c r="R12" i="26"/>
  <c r="AG14" i="26"/>
  <c r="AI14" i="26" s="1"/>
  <c r="AG13" i="26"/>
  <c r="AI13" i="26" s="1"/>
  <c r="AG7" i="26"/>
  <c r="AI7" i="26" s="1"/>
  <c r="D20" i="26" s="1"/>
  <c r="AG12" i="26"/>
  <c r="AI12" i="26" s="1"/>
  <c r="AI15" i="26" s="1"/>
  <c r="T24" i="26"/>
  <c r="E37" i="26"/>
  <c r="O48" i="26"/>
  <c r="E37" i="27"/>
  <c r="AG8" i="27"/>
  <c r="AI8" i="27" s="1"/>
  <c r="AI10" i="26"/>
  <c r="AI9" i="26"/>
  <c r="AG15" i="26"/>
  <c r="AF12" i="26"/>
  <c r="AF15" i="26" s="1"/>
  <c r="Y10" i="26" s="1"/>
  <c r="AF13" i="26"/>
  <c r="J47" i="26" s="1"/>
  <c r="T39" i="29"/>
  <c r="T41" i="29" s="1"/>
  <c r="AO37" i="29" s="1"/>
  <c r="E45" i="28"/>
  <c r="I24" i="28"/>
  <c r="Y23" i="28"/>
  <c r="E36" i="28"/>
  <c r="J12" i="28"/>
  <c r="Y33" i="28"/>
  <c r="J35" i="28"/>
  <c r="E47" i="28"/>
  <c r="O9" i="28"/>
  <c r="I46" i="28"/>
  <c r="S34" i="28"/>
  <c r="I22" i="28"/>
  <c r="I10" i="28"/>
  <c r="N34" i="28"/>
  <c r="X22" i="28"/>
  <c r="N10" i="28"/>
  <c r="N46" i="28"/>
  <c r="D34" i="28"/>
  <c r="N22" i="28"/>
  <c r="D10" i="28"/>
  <c r="D46" i="28"/>
  <c r="D22" i="28"/>
  <c r="S10" i="28"/>
  <c r="X34" i="28"/>
  <c r="I34" i="28"/>
  <c r="X10" i="28"/>
  <c r="S22" i="28"/>
  <c r="I47" i="28"/>
  <c r="N23" i="28"/>
  <c r="D35" i="28"/>
  <c r="X11" i="28"/>
  <c r="I11" i="28"/>
  <c r="X36" i="28"/>
  <c r="I36" i="28"/>
  <c r="N25" i="28"/>
  <c r="S12" i="28"/>
  <c r="D12" i="28"/>
  <c r="X13" i="28"/>
  <c r="S37" i="28"/>
  <c r="X24" i="28"/>
  <c r="D24" i="28"/>
  <c r="I13" i="28"/>
  <c r="N12" i="28"/>
  <c r="I49" i="28"/>
  <c r="N48" i="28"/>
  <c r="D48" i="28"/>
  <c r="D37" i="28"/>
  <c r="S24" i="28"/>
  <c r="O46" i="28"/>
  <c r="Y34" i="28"/>
  <c r="E34" i="28"/>
  <c r="O22" i="28"/>
  <c r="O10" i="28"/>
  <c r="E10" i="28"/>
  <c r="E46" i="28"/>
  <c r="T34" i="28"/>
  <c r="E22" i="28"/>
  <c r="T10" i="28"/>
  <c r="J34" i="28"/>
  <c r="T22" i="28"/>
  <c r="Y10" i="28"/>
  <c r="J10" i="28"/>
  <c r="AG14" i="28"/>
  <c r="AF14" i="28"/>
  <c r="Y22" i="28"/>
  <c r="S35" i="28"/>
  <c r="O33" i="28"/>
  <c r="E33" i="28"/>
  <c r="T9" i="28"/>
  <c r="J9" i="28"/>
  <c r="E21" i="28"/>
  <c r="T21" i="28"/>
  <c r="J45" i="28"/>
  <c r="E9" i="28"/>
  <c r="AG9" i="28"/>
  <c r="AI9" i="28" s="1"/>
  <c r="J48" i="28"/>
  <c r="Y35" i="28"/>
  <c r="E23" i="28"/>
  <c r="T11" i="28"/>
  <c r="E11" i="28"/>
  <c r="O11" i="28"/>
  <c r="J21" i="28"/>
  <c r="O24" i="28"/>
  <c r="O35" i="28"/>
  <c r="T36" i="28"/>
  <c r="J47" i="28"/>
  <c r="C48" i="28"/>
  <c r="R37" i="28"/>
  <c r="M12" i="28"/>
  <c r="AG10" i="28"/>
  <c r="AI10" i="28" s="1"/>
  <c r="Y12" i="28"/>
  <c r="Y21" i="28"/>
  <c r="J23" i="28"/>
  <c r="T23" i="28"/>
  <c r="H24" i="28"/>
  <c r="R24" i="28"/>
  <c r="J33" i="28"/>
  <c r="T33" i="28"/>
  <c r="E35" i="28"/>
  <c r="M36" i="28"/>
  <c r="W36" i="28"/>
  <c r="O45" i="28"/>
  <c r="J13" i="28"/>
  <c r="E24" i="28"/>
  <c r="T24" i="28"/>
  <c r="O36" i="28"/>
  <c r="J13" i="27"/>
  <c r="D9" i="27"/>
  <c r="J32" i="26"/>
  <c r="J8" i="26"/>
  <c r="W24" i="26"/>
  <c r="H13" i="26"/>
  <c r="C24" i="26"/>
  <c r="H36" i="26"/>
  <c r="J49" i="26"/>
  <c r="J13" i="26"/>
  <c r="E24" i="26"/>
  <c r="D44" i="27"/>
  <c r="I32" i="27"/>
  <c r="N20" i="27"/>
  <c r="X8" i="27"/>
  <c r="D8" i="27"/>
  <c r="N44" i="27"/>
  <c r="X32" i="27"/>
  <c r="S20" i="27"/>
  <c r="D20" i="27"/>
  <c r="N32" i="27"/>
  <c r="D32" i="27"/>
  <c r="N8" i="27"/>
  <c r="I44" i="27"/>
  <c r="S32" i="27"/>
  <c r="X20" i="27"/>
  <c r="I20" i="27"/>
  <c r="M36" i="27"/>
  <c r="H13" i="27"/>
  <c r="H36" i="27"/>
  <c r="R24" i="27"/>
  <c r="H24" i="27"/>
  <c r="H49" i="27"/>
  <c r="M48" i="27"/>
  <c r="C48" i="27"/>
  <c r="R37" i="27"/>
  <c r="C24" i="27"/>
  <c r="W24" i="27"/>
  <c r="R12" i="27"/>
  <c r="C12" i="27"/>
  <c r="W36" i="27"/>
  <c r="W13" i="27"/>
  <c r="M12" i="27"/>
  <c r="I46" i="27"/>
  <c r="X34" i="27"/>
  <c r="D34" i="27"/>
  <c r="S22" i="27"/>
  <c r="S10" i="27"/>
  <c r="S34" i="27"/>
  <c r="D22" i="27"/>
  <c r="N10" i="27"/>
  <c r="N46" i="27"/>
  <c r="X10" i="27"/>
  <c r="N34" i="27"/>
  <c r="I22" i="27"/>
  <c r="D10" i="27"/>
  <c r="X22" i="27"/>
  <c r="N22" i="27"/>
  <c r="D46" i="27"/>
  <c r="I34" i="27"/>
  <c r="I10" i="27"/>
  <c r="S8" i="27"/>
  <c r="I48" i="27"/>
  <c r="N24" i="27"/>
  <c r="X23" i="27"/>
  <c r="X12" i="27"/>
  <c r="I12" i="27"/>
  <c r="N35" i="27"/>
  <c r="N11" i="27"/>
  <c r="D36" i="27"/>
  <c r="S36" i="27"/>
  <c r="X35" i="27"/>
  <c r="S23" i="27"/>
  <c r="I23" i="27"/>
  <c r="I35" i="27"/>
  <c r="D23" i="27"/>
  <c r="N47" i="27"/>
  <c r="D47" i="27"/>
  <c r="S11" i="27"/>
  <c r="D11" i="27"/>
  <c r="I8" i="27"/>
  <c r="X21" i="27"/>
  <c r="S21" i="27"/>
  <c r="D45" i="27"/>
  <c r="I33" i="27"/>
  <c r="X11" i="27"/>
  <c r="I47" i="27"/>
  <c r="I11" i="27"/>
  <c r="S35" i="27"/>
  <c r="D35" i="27"/>
  <c r="N23" i="27"/>
  <c r="I49" i="27"/>
  <c r="D37" i="27"/>
  <c r="N25" i="27"/>
  <c r="X13" i="27"/>
  <c r="N48" i="27"/>
  <c r="D48" i="27"/>
  <c r="N12" i="27"/>
  <c r="D12" i="27"/>
  <c r="X36" i="27"/>
  <c r="N36" i="27"/>
  <c r="I13" i="27"/>
  <c r="D24" i="27"/>
  <c r="S24" i="27"/>
  <c r="S37" i="27"/>
  <c r="I24" i="27"/>
  <c r="I36" i="27"/>
  <c r="S12" i="27"/>
  <c r="X24" i="27"/>
  <c r="O48" i="27"/>
  <c r="T37" i="27"/>
  <c r="T24" i="27"/>
  <c r="E24" i="27"/>
  <c r="O12" i="27"/>
  <c r="J49" i="27"/>
  <c r="Y36" i="27"/>
  <c r="O36" i="27"/>
  <c r="O25" i="27"/>
  <c r="Y24" i="27"/>
  <c r="Y13" i="27"/>
  <c r="T12" i="27"/>
  <c r="N48" i="26"/>
  <c r="S37" i="26"/>
  <c r="S24" i="26"/>
  <c r="D24" i="26"/>
  <c r="N12" i="26"/>
  <c r="D12" i="26"/>
  <c r="I36" i="26"/>
  <c r="N25" i="26"/>
  <c r="X24" i="26"/>
  <c r="X13" i="26"/>
  <c r="D48" i="26"/>
  <c r="D37" i="26"/>
  <c r="S12" i="26"/>
  <c r="I13" i="26"/>
  <c r="E35" i="26"/>
  <c r="I24" i="26"/>
  <c r="X36" i="26"/>
  <c r="I49" i="26"/>
  <c r="O44" i="26"/>
  <c r="T32" i="26"/>
  <c r="Y20" i="26"/>
  <c r="E20" i="26"/>
  <c r="O8" i="26"/>
  <c r="Y32" i="26"/>
  <c r="T20" i="26"/>
  <c r="E44" i="26"/>
  <c r="O32" i="26"/>
  <c r="J20" i="26"/>
  <c r="T8" i="26"/>
  <c r="E8" i="26"/>
  <c r="E32" i="26"/>
  <c r="O20" i="26"/>
  <c r="N36" i="26"/>
  <c r="J44" i="26"/>
  <c r="Y8" i="26"/>
  <c r="H49" i="26"/>
  <c r="W13" i="26"/>
  <c r="C12" i="26"/>
  <c r="M12" i="26"/>
  <c r="R37" i="26"/>
  <c r="E48" i="26"/>
  <c r="Y36" i="26"/>
  <c r="J36" i="26"/>
  <c r="Y24" i="26"/>
  <c r="J24" i="26"/>
  <c r="T12" i="26"/>
  <c r="E12" i="26"/>
  <c r="O12" i="26"/>
  <c r="Y13" i="26"/>
  <c r="H24" i="26"/>
  <c r="R24" i="26"/>
  <c r="O25" i="26"/>
  <c r="M36" i="26"/>
  <c r="W36" i="26"/>
  <c r="T37" i="26"/>
  <c r="E49" i="28" l="1"/>
  <c r="T13" i="28"/>
  <c r="I44" i="26"/>
  <c r="T55" i="31"/>
  <c r="T59" i="31" s="1"/>
  <c r="T61" i="31" s="1"/>
  <c r="AM49" i="31" s="1"/>
  <c r="X39" i="29"/>
  <c r="X41" i="29" s="1"/>
  <c r="AH37" i="29" s="1"/>
  <c r="D39" i="29"/>
  <c r="D41" i="29" s="1"/>
  <c r="AD37" i="29" s="1"/>
  <c r="N39" i="29"/>
  <c r="N41" i="29" s="1"/>
  <c r="AF37" i="29" s="1"/>
  <c r="D18" i="29"/>
  <c r="D20" i="29" s="1"/>
  <c r="AD41" i="29" s="1"/>
  <c r="I39" i="29"/>
  <c r="I41" i="29" s="1"/>
  <c r="AE37" i="29" s="1"/>
  <c r="N63" i="29"/>
  <c r="N65" i="29" s="1"/>
  <c r="AH51" i="29" s="1"/>
  <c r="S52" i="29"/>
  <c r="S54" i="29" s="1"/>
  <c r="AI53" i="29" s="1"/>
  <c r="I29" i="29"/>
  <c r="I31" i="29" s="1"/>
  <c r="AE39" i="29" s="1"/>
  <c r="N18" i="29"/>
  <c r="N20" i="29" s="1"/>
  <c r="AF41" i="29" s="1"/>
  <c r="AC52" i="29"/>
  <c r="AC54" i="29" s="1"/>
  <c r="AI57" i="29" s="1"/>
  <c r="AC63" i="29"/>
  <c r="AC65" i="29" s="1"/>
  <c r="AH57" i="29" s="1"/>
  <c r="N29" i="29"/>
  <c r="N31" i="29" s="1"/>
  <c r="AF39" i="29" s="1"/>
  <c r="I52" i="29"/>
  <c r="I54" i="29" s="1"/>
  <c r="AI49" i="29" s="1"/>
  <c r="D29" i="29"/>
  <c r="D31" i="29" s="1"/>
  <c r="AD39" i="29" s="1"/>
  <c r="X29" i="29"/>
  <c r="X31" i="29" s="1"/>
  <c r="AH39" i="29" s="1"/>
  <c r="S29" i="29"/>
  <c r="S31" i="29" s="1"/>
  <c r="AG39" i="29" s="1"/>
  <c r="N52" i="29"/>
  <c r="N54" i="29" s="1"/>
  <c r="AI51" i="29" s="1"/>
  <c r="I18" i="29"/>
  <c r="I20" i="29" s="1"/>
  <c r="AE41" i="29" s="1"/>
  <c r="X18" i="29"/>
  <c r="X20" i="29" s="1"/>
  <c r="AH41" i="29" s="1"/>
  <c r="S18" i="29"/>
  <c r="S20" i="29" s="1"/>
  <c r="AG41" i="29" s="1"/>
  <c r="D63" i="29"/>
  <c r="D65" i="29" s="1"/>
  <c r="AH47" i="29" s="1"/>
  <c r="D44" i="28"/>
  <c r="N44" i="28"/>
  <c r="S32" i="28"/>
  <c r="I32" i="28"/>
  <c r="I20" i="28"/>
  <c r="D8" i="28"/>
  <c r="N8" i="28"/>
  <c r="S20" i="28"/>
  <c r="S8" i="28"/>
  <c r="I8" i="28"/>
  <c r="I44" i="28"/>
  <c r="X32" i="28"/>
  <c r="N32" i="28"/>
  <c r="D32" i="28"/>
  <c r="D20" i="28"/>
  <c r="N20" i="28"/>
  <c r="X20" i="28"/>
  <c r="X8" i="28"/>
  <c r="N59" i="30"/>
  <c r="N61" i="30" s="1"/>
  <c r="AH47" i="30" s="1"/>
  <c r="AD59" i="29"/>
  <c r="AD48" i="29"/>
  <c r="J35" i="29"/>
  <c r="O35" i="29"/>
  <c r="E14" i="29"/>
  <c r="J14" i="29"/>
  <c r="E59" i="29"/>
  <c r="Y48" i="29"/>
  <c r="T48" i="29"/>
  <c r="Y35" i="29"/>
  <c r="Y25" i="29"/>
  <c r="O14" i="29"/>
  <c r="T14" i="29"/>
  <c r="J59" i="29"/>
  <c r="O59" i="29"/>
  <c r="O48" i="29"/>
  <c r="J48" i="29"/>
  <c r="T25" i="29"/>
  <c r="O25" i="29"/>
  <c r="T59" i="29"/>
  <c r="Y59" i="29"/>
  <c r="E48" i="29"/>
  <c r="E35" i="29"/>
  <c r="J25" i="29"/>
  <c r="E25" i="29"/>
  <c r="Y14" i="29"/>
  <c r="T61" i="29"/>
  <c r="Y61" i="29"/>
  <c r="E50" i="29"/>
  <c r="E37" i="29"/>
  <c r="J27" i="29"/>
  <c r="E27" i="29"/>
  <c r="Y16" i="29"/>
  <c r="AD61" i="29"/>
  <c r="AD50" i="29"/>
  <c r="J37" i="29"/>
  <c r="O37" i="29"/>
  <c r="E16" i="29"/>
  <c r="J16" i="29"/>
  <c r="F28" i="32" s="1"/>
  <c r="E61" i="29"/>
  <c r="Y50" i="29"/>
  <c r="T50" i="29"/>
  <c r="Y37" i="29"/>
  <c r="Y27" i="29"/>
  <c r="O16" i="29"/>
  <c r="T16" i="29"/>
  <c r="J61" i="29"/>
  <c r="F41" i="32" s="1"/>
  <c r="O61" i="29"/>
  <c r="O50" i="29"/>
  <c r="J50" i="29"/>
  <c r="T27" i="29"/>
  <c r="O27" i="29"/>
  <c r="D45" i="30"/>
  <c r="D48" i="30" s="1"/>
  <c r="D50" i="30" s="1"/>
  <c r="AI43" i="30" s="1"/>
  <c r="S32" i="30"/>
  <c r="S35" i="30" s="1"/>
  <c r="S37" i="30" s="1"/>
  <c r="AG32" i="30" s="1"/>
  <c r="I32" i="30"/>
  <c r="I35" i="30" s="1"/>
  <c r="I37" i="30" s="1"/>
  <c r="AE32" i="30" s="1"/>
  <c r="D22" i="30"/>
  <c r="D25" i="30" s="1"/>
  <c r="D27" i="30" s="1"/>
  <c r="AD34" i="30" s="1"/>
  <c r="N22" i="30"/>
  <c r="N25" i="30" s="1"/>
  <c r="N27" i="30" s="1"/>
  <c r="AF34" i="30" s="1"/>
  <c r="X22" i="30"/>
  <c r="X25" i="30" s="1"/>
  <c r="X27" i="30" s="1"/>
  <c r="AH34" i="30" s="1"/>
  <c r="AC56" i="30"/>
  <c r="AC59" i="30" s="1"/>
  <c r="AC61" i="30" s="1"/>
  <c r="AH53" i="30" s="1"/>
  <c r="AC45" i="30"/>
  <c r="AC48" i="30" s="1"/>
  <c r="AC50" i="30" s="1"/>
  <c r="AI53" i="30" s="1"/>
  <c r="X32" i="30"/>
  <c r="X35" i="30" s="1"/>
  <c r="X37" i="30" s="1"/>
  <c r="S22" i="30"/>
  <c r="S25" i="30" s="1"/>
  <c r="S27" i="30" s="1"/>
  <c r="AG34" i="30" s="1"/>
  <c r="D11" i="30"/>
  <c r="D14" i="30" s="1"/>
  <c r="D16" i="30" s="1"/>
  <c r="AD36" i="30" s="1"/>
  <c r="D56" i="30"/>
  <c r="D59" i="30" s="1"/>
  <c r="D61" i="30" s="1"/>
  <c r="AH43" i="30" s="1"/>
  <c r="X45" i="30"/>
  <c r="S45" i="30"/>
  <c r="S48" i="30" s="1"/>
  <c r="S50" i="30" s="1"/>
  <c r="AI49" i="30" s="1"/>
  <c r="N32" i="30"/>
  <c r="N35" i="30" s="1"/>
  <c r="N37" i="30" s="1"/>
  <c r="AF32" i="30" s="1"/>
  <c r="X11" i="30"/>
  <c r="X14" i="30" s="1"/>
  <c r="X16" i="30" s="1"/>
  <c r="AH36" i="30" s="1"/>
  <c r="N56" i="30"/>
  <c r="N45" i="30"/>
  <c r="N48" i="30" s="1"/>
  <c r="N50" i="30" s="1"/>
  <c r="AI47" i="30" s="1"/>
  <c r="D32" i="30"/>
  <c r="D35" i="30" s="1"/>
  <c r="D37" i="30" s="1"/>
  <c r="AD32" i="30" s="1"/>
  <c r="I22" i="30"/>
  <c r="I25" i="30" s="1"/>
  <c r="I27" i="30" s="1"/>
  <c r="AE34" i="30" s="1"/>
  <c r="N11" i="30"/>
  <c r="N14" i="30" s="1"/>
  <c r="N16" i="30" s="1"/>
  <c r="AF36" i="30" s="1"/>
  <c r="X56" i="30"/>
  <c r="X59" i="30" s="1"/>
  <c r="X61" i="30" s="1"/>
  <c r="AH51" i="30" s="1"/>
  <c r="I56" i="30"/>
  <c r="I59" i="30" s="1"/>
  <c r="I61" i="30" s="1"/>
  <c r="AH45" i="30" s="1"/>
  <c r="S11" i="30"/>
  <c r="S14" i="30" s="1"/>
  <c r="S16" i="30" s="1"/>
  <c r="AG36" i="30" s="1"/>
  <c r="S56" i="30"/>
  <c r="I45" i="30"/>
  <c r="I48" i="30" s="1"/>
  <c r="I50" i="30" s="1"/>
  <c r="AI45" i="30" s="1"/>
  <c r="I11" i="30"/>
  <c r="I14" i="30" s="1"/>
  <c r="I16" i="30" s="1"/>
  <c r="AE36" i="30" s="1"/>
  <c r="Y15" i="29"/>
  <c r="E60" i="29"/>
  <c r="J60" i="29"/>
  <c r="F40" i="32" s="1"/>
  <c r="T49" i="29"/>
  <c r="O49" i="29"/>
  <c r="Y26" i="29"/>
  <c r="T26" i="29"/>
  <c r="T15" i="29"/>
  <c r="O60" i="29"/>
  <c r="T60" i="29"/>
  <c r="J49" i="29"/>
  <c r="E49" i="29"/>
  <c r="O26" i="29"/>
  <c r="J26" i="29"/>
  <c r="Y60" i="29"/>
  <c r="AD60" i="29"/>
  <c r="E36" i="29"/>
  <c r="J36" i="29"/>
  <c r="E26" i="29"/>
  <c r="E15" i="29"/>
  <c r="AD49" i="29"/>
  <c r="Y49" i="29"/>
  <c r="O36" i="29"/>
  <c r="Y36" i="29"/>
  <c r="J15" i="29"/>
  <c r="F27" i="32" s="1"/>
  <c r="O15" i="29"/>
  <c r="O56" i="31"/>
  <c r="O59" i="31" s="1"/>
  <c r="O61" i="31" s="1"/>
  <c r="AM47" i="31" s="1"/>
  <c r="AD56" i="31"/>
  <c r="AD59" i="31" s="1"/>
  <c r="AD61" i="31" s="1"/>
  <c r="AM53" i="31" s="1"/>
  <c r="Y45" i="31"/>
  <c r="Y48" i="31" s="1"/>
  <c r="Y50" i="31" s="1"/>
  <c r="AN51" i="31" s="1"/>
  <c r="O45" i="31"/>
  <c r="O48" i="31" s="1"/>
  <c r="O50" i="31" s="1"/>
  <c r="AN47" i="31" s="1"/>
  <c r="E45" i="31"/>
  <c r="E48" i="31" s="1"/>
  <c r="E50" i="31" s="1"/>
  <c r="AN43" i="31" s="1"/>
  <c r="J32" i="31"/>
  <c r="J35" i="31" s="1"/>
  <c r="J37" i="31" s="1"/>
  <c r="AL32" i="31" s="1"/>
  <c r="T32" i="31"/>
  <c r="T35" i="31" s="1"/>
  <c r="T37" i="31" s="1"/>
  <c r="AN32" i="31" s="1"/>
  <c r="Y22" i="31"/>
  <c r="Y25" i="31" s="1"/>
  <c r="Y27" i="31" s="1"/>
  <c r="AO34" i="31" s="1"/>
  <c r="O22" i="31"/>
  <c r="O25" i="31" s="1"/>
  <c r="O27" i="31" s="1"/>
  <c r="AM34" i="31" s="1"/>
  <c r="E22" i="31"/>
  <c r="E25" i="31" s="1"/>
  <c r="E27" i="31" s="1"/>
  <c r="AK34" i="31" s="1"/>
  <c r="J11" i="31"/>
  <c r="J14" i="31" s="1"/>
  <c r="J16" i="31" s="1"/>
  <c r="AL36" i="31" s="1"/>
  <c r="T11" i="31"/>
  <c r="T14" i="31" s="1"/>
  <c r="T16" i="31" s="1"/>
  <c r="AN36" i="31" s="1"/>
  <c r="T45" i="31"/>
  <c r="T48" i="31" s="1"/>
  <c r="T50" i="31" s="1"/>
  <c r="AN49" i="31" s="1"/>
  <c r="Y32" i="31"/>
  <c r="Y35" i="31" s="1"/>
  <c r="Y37" i="31" s="1"/>
  <c r="AO32" i="31" s="1"/>
  <c r="O11" i="31"/>
  <c r="O14" i="31" s="1"/>
  <c r="O16" i="31" s="1"/>
  <c r="AM36" i="31" s="1"/>
  <c r="E56" i="31"/>
  <c r="E59" i="31" s="1"/>
  <c r="E61" i="31" s="1"/>
  <c r="AM43" i="31" s="1"/>
  <c r="J45" i="31"/>
  <c r="J48" i="31" s="1"/>
  <c r="J50" i="31" s="1"/>
  <c r="AN45" i="31" s="1"/>
  <c r="T22" i="31"/>
  <c r="T25" i="31" s="1"/>
  <c r="T27" i="31" s="1"/>
  <c r="AN34" i="31" s="1"/>
  <c r="AD45" i="31"/>
  <c r="AD48" i="31" s="1"/>
  <c r="AD50" i="31" s="1"/>
  <c r="AN53" i="31" s="1"/>
  <c r="O32" i="31"/>
  <c r="O35" i="31" s="1"/>
  <c r="O37" i="31" s="1"/>
  <c r="AM32" i="31" s="1"/>
  <c r="J22" i="31"/>
  <c r="J25" i="31" s="1"/>
  <c r="J27" i="31" s="1"/>
  <c r="AL34" i="31" s="1"/>
  <c r="E11" i="31"/>
  <c r="E14" i="31" s="1"/>
  <c r="E16" i="31" s="1"/>
  <c r="AK36" i="31" s="1"/>
  <c r="Y11" i="31"/>
  <c r="Y14" i="31" s="1"/>
  <c r="Y16" i="31" s="1"/>
  <c r="AO36" i="31" s="1"/>
  <c r="Y56" i="31"/>
  <c r="E32" i="31"/>
  <c r="E35" i="31" s="1"/>
  <c r="E37" i="31" s="1"/>
  <c r="AK32" i="31" s="1"/>
  <c r="J25" i="28"/>
  <c r="X52" i="29"/>
  <c r="X54" i="29" s="1"/>
  <c r="AI55" i="29" s="1"/>
  <c r="I22" i="31"/>
  <c r="AC45" i="31"/>
  <c r="X45" i="31"/>
  <c r="N32" i="31"/>
  <c r="S32" i="31"/>
  <c r="D11" i="31"/>
  <c r="I11" i="31"/>
  <c r="X11" i="31"/>
  <c r="S45" i="31"/>
  <c r="N45" i="31"/>
  <c r="X32" i="31"/>
  <c r="X22" i="31"/>
  <c r="N11" i="31"/>
  <c r="S11" i="31"/>
  <c r="N56" i="31"/>
  <c r="D45" i="31"/>
  <c r="N22" i="31"/>
  <c r="D56" i="31"/>
  <c r="AC56" i="31"/>
  <c r="I45" i="31"/>
  <c r="I32" i="31"/>
  <c r="S22" i="31"/>
  <c r="X56" i="31"/>
  <c r="D32" i="31"/>
  <c r="D22" i="31"/>
  <c r="Y14" i="28"/>
  <c r="J55" i="30"/>
  <c r="T55" i="30"/>
  <c r="AD55" i="30"/>
  <c r="AD59" i="30" s="1"/>
  <c r="AD61" i="30" s="1"/>
  <c r="AM53" i="30" s="1"/>
  <c r="Y44" i="30"/>
  <c r="Y48" i="30" s="1"/>
  <c r="Y50" i="30" s="1"/>
  <c r="AN51" i="30" s="1"/>
  <c r="O44" i="30"/>
  <c r="J21" i="30"/>
  <c r="T10" i="30"/>
  <c r="T14" i="30" s="1"/>
  <c r="T16" i="30" s="1"/>
  <c r="AO36" i="30" s="1"/>
  <c r="J10" i="30"/>
  <c r="J14" i="30" s="1"/>
  <c r="J16" i="30" s="1"/>
  <c r="AM36" i="30" s="1"/>
  <c r="Y55" i="30"/>
  <c r="J44" i="30"/>
  <c r="E44" i="30"/>
  <c r="E48" i="30" s="1"/>
  <c r="E50" i="30" s="1"/>
  <c r="AN43" i="30" s="1"/>
  <c r="O21" i="30"/>
  <c r="O25" i="30" s="1"/>
  <c r="O27" i="30" s="1"/>
  <c r="AN34" i="30" s="1"/>
  <c r="AD44" i="30"/>
  <c r="Y31" i="30"/>
  <c r="T31" i="30"/>
  <c r="T35" i="30" s="1"/>
  <c r="T37" i="30" s="1"/>
  <c r="AO32" i="30" s="1"/>
  <c r="T21" i="30"/>
  <c r="T25" i="30" s="1"/>
  <c r="T27" i="30" s="1"/>
  <c r="AO34" i="30" s="1"/>
  <c r="Y21" i="30"/>
  <c r="E10" i="30"/>
  <c r="E55" i="30"/>
  <c r="O31" i="30"/>
  <c r="O35" i="30" s="1"/>
  <c r="O37" i="30" s="1"/>
  <c r="AN32" i="30" s="1"/>
  <c r="O55" i="30"/>
  <c r="E31" i="30"/>
  <c r="O10" i="30"/>
  <c r="O14" i="30" s="1"/>
  <c r="O16" i="30" s="1"/>
  <c r="AN36" i="30" s="1"/>
  <c r="T44" i="30"/>
  <c r="J31" i="30"/>
  <c r="E21" i="30"/>
  <c r="Y10" i="30"/>
  <c r="I21" i="31"/>
  <c r="N55" i="31"/>
  <c r="N59" i="31" s="1"/>
  <c r="N61" i="31" s="1"/>
  <c r="AH47" i="31" s="1"/>
  <c r="X55" i="31"/>
  <c r="D44" i="31"/>
  <c r="D31" i="31"/>
  <c r="N21" i="31"/>
  <c r="AC55" i="31"/>
  <c r="AC44" i="31"/>
  <c r="I31" i="31"/>
  <c r="N31" i="31"/>
  <c r="D21" i="31"/>
  <c r="D10" i="31"/>
  <c r="X10" i="31"/>
  <c r="X44" i="31"/>
  <c r="X48" i="31" s="1"/>
  <c r="X50" i="31" s="1"/>
  <c r="AI51" i="31" s="1"/>
  <c r="S31" i="31"/>
  <c r="N44" i="31"/>
  <c r="X21" i="31"/>
  <c r="I10" i="31"/>
  <c r="I14" i="31" s="1"/>
  <c r="I16" i="31" s="1"/>
  <c r="AD36" i="31" s="1"/>
  <c r="S44" i="31"/>
  <c r="X31" i="31"/>
  <c r="S10" i="31"/>
  <c r="S14" i="31" s="1"/>
  <c r="S16" i="31" s="1"/>
  <c r="AF36" i="31" s="1"/>
  <c r="D55" i="31"/>
  <c r="I44" i="31"/>
  <c r="I48" i="31" s="1"/>
  <c r="I50" i="31" s="1"/>
  <c r="AI45" i="31" s="1"/>
  <c r="S21" i="31"/>
  <c r="N10" i="31"/>
  <c r="M5" i="32"/>
  <c r="D14" i="32" s="1"/>
  <c r="E25" i="30"/>
  <c r="E27" i="30" s="1"/>
  <c r="AL34" i="30" s="1"/>
  <c r="J57" i="30"/>
  <c r="J59" i="30" s="1"/>
  <c r="J61" i="30" s="1"/>
  <c r="AM45" i="30" s="1"/>
  <c r="T57" i="30"/>
  <c r="AD57" i="30"/>
  <c r="Y46" i="30"/>
  <c r="O46" i="30"/>
  <c r="J23" i="30"/>
  <c r="T12" i="30"/>
  <c r="J12" i="30"/>
  <c r="O57" i="30"/>
  <c r="E33" i="30"/>
  <c r="E23" i="30"/>
  <c r="O12" i="30"/>
  <c r="Y57" i="30"/>
  <c r="J46" i="30"/>
  <c r="E46" i="30"/>
  <c r="O23" i="30"/>
  <c r="E12" i="30"/>
  <c r="Y12" i="30"/>
  <c r="AD46" i="30"/>
  <c r="T33" i="30"/>
  <c r="T23" i="30"/>
  <c r="T46" i="30"/>
  <c r="J33" i="30"/>
  <c r="Y33" i="30"/>
  <c r="Y23" i="30"/>
  <c r="E57" i="30"/>
  <c r="O33" i="30"/>
  <c r="Y25" i="28"/>
  <c r="Y59" i="31"/>
  <c r="Y61" i="31" s="1"/>
  <c r="AM51" i="31" s="1"/>
  <c r="X48" i="30"/>
  <c r="X50" i="30" s="1"/>
  <c r="AI51" i="30" s="1"/>
  <c r="X63" i="29"/>
  <c r="X65" i="29" s="1"/>
  <c r="AH55" i="29" s="1"/>
  <c r="I63" i="29"/>
  <c r="I65" i="29" s="1"/>
  <c r="AH49" i="29" s="1"/>
  <c r="E40" i="32"/>
  <c r="E43" i="32" s="1"/>
  <c r="E45" i="32" s="1"/>
  <c r="M38" i="32" s="1"/>
  <c r="N40" i="32" s="1"/>
  <c r="E30" i="32"/>
  <c r="E32" i="32" s="1"/>
  <c r="AD48" i="30"/>
  <c r="AD50" i="30" s="1"/>
  <c r="AN53" i="30" s="1"/>
  <c r="S59" i="30"/>
  <c r="S61" i="30" s="1"/>
  <c r="AH49" i="30" s="1"/>
  <c r="D52" i="29"/>
  <c r="D54" i="29" s="1"/>
  <c r="AI47" i="29" s="1"/>
  <c r="S63" i="29"/>
  <c r="S65" i="29" s="1"/>
  <c r="AH53" i="29" s="1"/>
  <c r="AD7" i="32"/>
  <c r="F4" i="32"/>
  <c r="N4" i="32"/>
  <c r="E13" i="32" s="1"/>
  <c r="M6" i="32"/>
  <c r="D15" i="32" s="1"/>
  <c r="E6" i="32"/>
  <c r="D7" i="32"/>
  <c r="F5" i="32"/>
  <c r="N5" i="32"/>
  <c r="E14" i="32" s="1"/>
  <c r="AE8" i="32"/>
  <c r="S32" i="26"/>
  <c r="O23" i="26"/>
  <c r="D32" i="26"/>
  <c r="Y11" i="26"/>
  <c r="T35" i="26"/>
  <c r="X8" i="26"/>
  <c r="J11" i="26"/>
  <c r="T10" i="26"/>
  <c r="AF14" i="26"/>
  <c r="T22" i="26"/>
  <c r="J22" i="26"/>
  <c r="J34" i="26"/>
  <c r="E46" i="26"/>
  <c r="Y34" i="26"/>
  <c r="T34" i="26"/>
  <c r="E34" i="26"/>
  <c r="O34" i="26"/>
  <c r="O22" i="26"/>
  <c r="O46" i="26"/>
  <c r="O10" i="26"/>
  <c r="J46" i="26"/>
  <c r="Y22" i="26"/>
  <c r="E10" i="26"/>
  <c r="E22" i="26"/>
  <c r="J10" i="26"/>
  <c r="J37" i="28"/>
  <c r="Y37" i="28"/>
  <c r="O49" i="28"/>
  <c r="J50" i="28"/>
  <c r="O13" i="28"/>
  <c r="O26" i="28"/>
  <c r="T38" i="28"/>
  <c r="E38" i="28"/>
  <c r="O37" i="28"/>
  <c r="I45" i="28"/>
  <c r="X33" i="28"/>
  <c r="S21" i="28"/>
  <c r="I21" i="28"/>
  <c r="D45" i="28"/>
  <c r="N21" i="28"/>
  <c r="X9" i="28"/>
  <c r="I9" i="28"/>
  <c r="N45" i="28"/>
  <c r="S33" i="28"/>
  <c r="I33" i="28"/>
  <c r="X21" i="28"/>
  <c r="S9" i="28"/>
  <c r="D33" i="28"/>
  <c r="D9" i="28"/>
  <c r="N9" i="28"/>
  <c r="D21" i="28"/>
  <c r="N33" i="28"/>
  <c r="J14" i="28"/>
  <c r="N27" i="28"/>
  <c r="S26" i="28"/>
  <c r="I26" i="28"/>
  <c r="I15" i="28"/>
  <c r="N14" i="28"/>
  <c r="D14" i="28"/>
  <c r="I51" i="28"/>
  <c r="N50" i="28"/>
  <c r="X38" i="28"/>
  <c r="I38" i="28"/>
  <c r="D26" i="28"/>
  <c r="AI14" i="28"/>
  <c r="S39" i="28"/>
  <c r="D39" i="28"/>
  <c r="X26" i="28"/>
  <c r="X15" i="28"/>
  <c r="S14" i="28"/>
  <c r="D50" i="28"/>
  <c r="N38" i="28"/>
  <c r="I35" i="28"/>
  <c r="N24" i="28"/>
  <c r="X23" i="28"/>
  <c r="D11" i="28"/>
  <c r="I48" i="28"/>
  <c r="N47" i="28"/>
  <c r="D47" i="28"/>
  <c r="D36" i="28"/>
  <c r="S11" i="28"/>
  <c r="X35" i="28"/>
  <c r="S23" i="28"/>
  <c r="I23" i="28"/>
  <c r="X12" i="28"/>
  <c r="S36" i="28"/>
  <c r="N35" i="28"/>
  <c r="D23" i="28"/>
  <c r="N11" i="28"/>
  <c r="I12" i="28"/>
  <c r="T25" i="28"/>
  <c r="E13" i="28"/>
  <c r="E15" i="28" s="1"/>
  <c r="E25" i="28"/>
  <c r="J51" i="28"/>
  <c r="O50" i="28"/>
  <c r="E50" i="28"/>
  <c r="E39" i="28"/>
  <c r="J38" i="28"/>
  <c r="T39" i="28"/>
  <c r="O27" i="28"/>
  <c r="Y26" i="28"/>
  <c r="Y15" i="28"/>
  <c r="T14" i="28"/>
  <c r="O38" i="28"/>
  <c r="J26" i="28"/>
  <c r="J15" i="28"/>
  <c r="E14" i="28"/>
  <c r="Y38" i="28"/>
  <c r="O14" i="28"/>
  <c r="T26" i="28"/>
  <c r="E26" i="28"/>
  <c r="N9" i="27"/>
  <c r="N13" i="27" s="1"/>
  <c r="I21" i="27"/>
  <c r="I25" i="27" s="1"/>
  <c r="N45" i="27"/>
  <c r="N49" i="27" s="1"/>
  <c r="S9" i="27"/>
  <c r="S13" i="27" s="1"/>
  <c r="I45" i="27"/>
  <c r="I50" i="27" s="1"/>
  <c r="D33" i="27"/>
  <c r="D38" i="27" s="1"/>
  <c r="N33" i="27"/>
  <c r="N37" i="27" s="1"/>
  <c r="I9" i="27"/>
  <c r="I14" i="27" s="1"/>
  <c r="D21" i="27"/>
  <c r="D25" i="27" s="1"/>
  <c r="D13" i="27"/>
  <c r="S33" i="27"/>
  <c r="S38" i="27" s="1"/>
  <c r="X33" i="27"/>
  <c r="X37" i="27" s="1"/>
  <c r="X9" i="27"/>
  <c r="X14" i="27" s="1"/>
  <c r="N21" i="27"/>
  <c r="N26" i="27" s="1"/>
  <c r="X25" i="27"/>
  <c r="D44" i="26"/>
  <c r="X20" i="26"/>
  <c r="N32" i="26"/>
  <c r="D8" i="26"/>
  <c r="N8" i="26"/>
  <c r="I8" i="26"/>
  <c r="E35" i="27"/>
  <c r="O23" i="27"/>
  <c r="Y11" i="27"/>
  <c r="T35" i="27"/>
  <c r="J11" i="27"/>
  <c r="J47" i="27"/>
  <c r="I37" i="27"/>
  <c r="O46" i="27"/>
  <c r="J34" i="27"/>
  <c r="Y22" i="27"/>
  <c r="E22" i="27"/>
  <c r="Y10" i="27"/>
  <c r="E10" i="27"/>
  <c r="T22" i="27"/>
  <c r="E46" i="27"/>
  <c r="Y34" i="27"/>
  <c r="O34" i="27"/>
  <c r="J22" i="27"/>
  <c r="O10" i="27"/>
  <c r="J46" i="27"/>
  <c r="E34" i="27"/>
  <c r="O22" i="27"/>
  <c r="T34" i="27"/>
  <c r="T10" i="27"/>
  <c r="J10" i="27"/>
  <c r="D49" i="27"/>
  <c r="J44" i="27"/>
  <c r="O32" i="27"/>
  <c r="T20" i="27"/>
  <c r="J8" i="27"/>
  <c r="E44" i="27"/>
  <c r="J20" i="27"/>
  <c r="O8" i="27"/>
  <c r="O44" i="27"/>
  <c r="E32" i="27"/>
  <c r="Y8" i="27"/>
  <c r="T32" i="27"/>
  <c r="Y20" i="27"/>
  <c r="O20" i="27"/>
  <c r="E20" i="27"/>
  <c r="E8" i="27"/>
  <c r="J32" i="27"/>
  <c r="T8" i="27"/>
  <c r="Y32" i="27"/>
  <c r="O47" i="27"/>
  <c r="T36" i="27"/>
  <c r="E36" i="27"/>
  <c r="O35" i="27"/>
  <c r="J23" i="27"/>
  <c r="O11" i="27"/>
  <c r="E23" i="27"/>
  <c r="Y12" i="27"/>
  <c r="E11" i="27"/>
  <c r="J48" i="27"/>
  <c r="J35" i="27"/>
  <c r="O24" i="27"/>
  <c r="J12" i="27"/>
  <c r="E47" i="27"/>
  <c r="Y23" i="27"/>
  <c r="T11" i="27"/>
  <c r="Y35" i="27"/>
  <c r="T23" i="27"/>
  <c r="S25" i="27"/>
  <c r="O33" i="27"/>
  <c r="E33" i="27"/>
  <c r="Y9" i="27"/>
  <c r="E9" i="27"/>
  <c r="O45" i="27"/>
  <c r="E45" i="27"/>
  <c r="T33" i="27"/>
  <c r="J33" i="27"/>
  <c r="E21" i="27"/>
  <c r="O9" i="27"/>
  <c r="Y21" i="27"/>
  <c r="J45" i="27"/>
  <c r="T21" i="27"/>
  <c r="T9" i="27"/>
  <c r="J9" i="27"/>
  <c r="O21" i="27"/>
  <c r="Y33" i="27"/>
  <c r="J21" i="27"/>
  <c r="X32" i="26"/>
  <c r="I32" i="26"/>
  <c r="N20" i="26"/>
  <c r="I20" i="26"/>
  <c r="N44" i="26"/>
  <c r="S20" i="26"/>
  <c r="S8" i="26"/>
  <c r="N33" i="26"/>
  <c r="D33" i="26"/>
  <c r="X9" i="26"/>
  <c r="D9" i="26"/>
  <c r="I45" i="26"/>
  <c r="X33" i="26"/>
  <c r="S21" i="26"/>
  <c r="D21" i="26"/>
  <c r="N9" i="26"/>
  <c r="N45" i="26"/>
  <c r="S33" i="26"/>
  <c r="I33" i="26"/>
  <c r="N21" i="26"/>
  <c r="S9" i="26"/>
  <c r="D45" i="26"/>
  <c r="X21" i="26"/>
  <c r="I21" i="26"/>
  <c r="I9" i="26"/>
  <c r="D35" i="26"/>
  <c r="I11" i="26"/>
  <c r="N23" i="26"/>
  <c r="I47" i="26"/>
  <c r="S35" i="26"/>
  <c r="X11" i="26"/>
  <c r="E47" i="26"/>
  <c r="E11" i="26"/>
  <c r="J48" i="26"/>
  <c r="O47" i="26"/>
  <c r="Y35" i="26"/>
  <c r="E23" i="26"/>
  <c r="Y12" i="26"/>
  <c r="T11" i="26"/>
  <c r="T36" i="26"/>
  <c r="O35" i="26"/>
  <c r="O24" i="26"/>
  <c r="J35" i="26"/>
  <c r="T23" i="26"/>
  <c r="O11" i="26"/>
  <c r="J12" i="26"/>
  <c r="Y23" i="26"/>
  <c r="E36" i="26"/>
  <c r="J23" i="26"/>
  <c r="N46" i="26"/>
  <c r="I34" i="26"/>
  <c r="X22" i="26"/>
  <c r="D22" i="26"/>
  <c r="X10" i="26"/>
  <c r="D10" i="26"/>
  <c r="D46" i="26"/>
  <c r="N34" i="26"/>
  <c r="N22" i="26"/>
  <c r="I46" i="26"/>
  <c r="D34" i="26"/>
  <c r="S22" i="26"/>
  <c r="N10" i="26"/>
  <c r="S34" i="26"/>
  <c r="I22" i="26"/>
  <c r="I10" i="26"/>
  <c r="X34" i="26"/>
  <c r="S10" i="26"/>
  <c r="N47" i="26"/>
  <c r="S36" i="26"/>
  <c r="D36" i="26"/>
  <c r="N35" i="26"/>
  <c r="I23" i="26"/>
  <c r="N11" i="26"/>
  <c r="D47" i="26"/>
  <c r="X23" i="26"/>
  <c r="I48" i="26"/>
  <c r="X35" i="26"/>
  <c r="D23" i="26"/>
  <c r="X12" i="26"/>
  <c r="S11" i="26"/>
  <c r="N24" i="26"/>
  <c r="S23" i="26"/>
  <c r="I12" i="26"/>
  <c r="I35" i="26"/>
  <c r="D11" i="26"/>
  <c r="O45" i="26"/>
  <c r="T33" i="26"/>
  <c r="T21" i="26"/>
  <c r="T25" i="26" s="1"/>
  <c r="J21" i="26"/>
  <c r="J9" i="26"/>
  <c r="O33" i="26"/>
  <c r="E21" i="26"/>
  <c r="O9" i="26"/>
  <c r="J33" i="26"/>
  <c r="O21" i="26"/>
  <c r="T9" i="26"/>
  <c r="E9" i="26"/>
  <c r="E45" i="26"/>
  <c r="Y21" i="26"/>
  <c r="J45" i="26"/>
  <c r="E33" i="26"/>
  <c r="Y9" i="26"/>
  <c r="Y33" i="26"/>
  <c r="N14" i="31" l="1"/>
  <c r="N16" i="31" s="1"/>
  <c r="AE36" i="31" s="1"/>
  <c r="I35" i="31"/>
  <c r="I37" i="31" s="1"/>
  <c r="AD32" i="31" s="1"/>
  <c r="I25" i="31"/>
  <c r="I27" i="31" s="1"/>
  <c r="AD34" i="31" s="1"/>
  <c r="X25" i="31"/>
  <c r="X27" i="31" s="1"/>
  <c r="AG34" i="31" s="1"/>
  <c r="X14" i="31"/>
  <c r="X16" i="31" s="1"/>
  <c r="AG36" i="31" s="1"/>
  <c r="D35" i="31"/>
  <c r="D37" i="31" s="1"/>
  <c r="AC32" i="31" s="1"/>
  <c r="X35" i="31"/>
  <c r="X37" i="31" s="1"/>
  <c r="AG32" i="31" s="1"/>
  <c r="D48" i="31"/>
  <c r="D50" i="31" s="1"/>
  <c r="AI43" i="31" s="1"/>
  <c r="J27" i="28"/>
  <c r="J39" i="28"/>
  <c r="J16" i="28"/>
  <c r="E51" i="28"/>
  <c r="X37" i="28"/>
  <c r="X39" i="28" s="1"/>
  <c r="Y16" i="28"/>
  <c r="T15" i="28"/>
  <c r="Y39" i="28"/>
  <c r="O15" i="28"/>
  <c r="Y27" i="28"/>
  <c r="N49" i="28"/>
  <c r="N51" i="28" s="1"/>
  <c r="AC59" i="31"/>
  <c r="AC61" i="31" s="1"/>
  <c r="AH53" i="31" s="1"/>
  <c r="X59" i="31"/>
  <c r="X61" i="31" s="1"/>
  <c r="AH51" i="31" s="1"/>
  <c r="E59" i="30"/>
  <c r="E61" i="30" s="1"/>
  <c r="AM43" i="30" s="1"/>
  <c r="J25" i="30"/>
  <c r="J27" i="30" s="1"/>
  <c r="AM34" i="30" s="1"/>
  <c r="J29" i="29"/>
  <c r="J31" i="29" s="1"/>
  <c r="AM39" i="29" s="1"/>
  <c r="T63" i="29"/>
  <c r="T65" i="29" s="1"/>
  <c r="AM53" i="29" s="1"/>
  <c r="O18" i="29"/>
  <c r="O20" i="29" s="1"/>
  <c r="AN41" i="29" s="1"/>
  <c r="Y52" i="29"/>
  <c r="Y54" i="29" s="1"/>
  <c r="AN55" i="29" s="1"/>
  <c r="O39" i="29"/>
  <c r="O41" i="29" s="1"/>
  <c r="AN37" i="29" s="1"/>
  <c r="N13" i="28"/>
  <c r="N15" i="28" s="1"/>
  <c r="T48" i="30"/>
  <c r="T50" i="30" s="1"/>
  <c r="AN49" i="30" s="1"/>
  <c r="O52" i="29"/>
  <c r="O54" i="29" s="1"/>
  <c r="AN51" i="29" s="1"/>
  <c r="S25" i="31"/>
  <c r="S27" i="31" s="1"/>
  <c r="AF34" i="31" s="1"/>
  <c r="N48" i="31"/>
  <c r="N50" i="31" s="1"/>
  <c r="AI47" i="31" s="1"/>
  <c r="D14" i="31"/>
  <c r="D16" i="31" s="1"/>
  <c r="AC36" i="31" s="1"/>
  <c r="I55" i="31"/>
  <c r="I59" i="31" s="1"/>
  <c r="I61" i="31" s="1"/>
  <c r="AH45" i="31" s="1"/>
  <c r="S55" i="31"/>
  <c r="S59" i="31" s="1"/>
  <c r="S61" i="31" s="1"/>
  <c r="AH49" i="31" s="1"/>
  <c r="AC48" i="31"/>
  <c r="AC50" i="31" s="1"/>
  <c r="AI53" i="31" s="1"/>
  <c r="Y14" i="30"/>
  <c r="Y16" i="30" s="1"/>
  <c r="AP36" i="30" s="1"/>
  <c r="E39" i="29"/>
  <c r="E41" i="29" s="1"/>
  <c r="AL37" i="29" s="1"/>
  <c r="O29" i="29"/>
  <c r="O31" i="29" s="1"/>
  <c r="AN39" i="29" s="1"/>
  <c r="O63" i="29"/>
  <c r="O65" i="29" s="1"/>
  <c r="AM51" i="29" s="1"/>
  <c r="Y29" i="29"/>
  <c r="Y31" i="29" s="1"/>
  <c r="AP39" i="29" s="1"/>
  <c r="E63" i="29"/>
  <c r="E65" i="29" s="1"/>
  <c r="AM47" i="29" s="1"/>
  <c r="J39" i="29"/>
  <c r="J41" i="29" s="1"/>
  <c r="AM37" i="29" s="1"/>
  <c r="O51" i="28"/>
  <c r="S48" i="31"/>
  <c r="S50" i="31" s="1"/>
  <c r="AI49" i="31" s="1"/>
  <c r="S35" i="31"/>
  <c r="S37" i="31" s="1"/>
  <c r="AF32" i="31" s="1"/>
  <c r="D25" i="31"/>
  <c r="D27" i="31" s="1"/>
  <c r="AC34" i="31" s="1"/>
  <c r="E35" i="30"/>
  <c r="E37" i="30" s="1"/>
  <c r="AL32" i="30" s="1"/>
  <c r="E14" i="30"/>
  <c r="E16" i="30" s="1"/>
  <c r="AL36" i="30" s="1"/>
  <c r="Y35" i="30"/>
  <c r="Y37" i="30" s="1"/>
  <c r="J48" i="30"/>
  <c r="J50" i="30" s="1"/>
  <c r="AN45" i="30" s="1"/>
  <c r="T59" i="30"/>
  <c r="T61" i="30" s="1"/>
  <c r="AM49" i="30" s="1"/>
  <c r="Y18" i="29"/>
  <c r="Y20" i="29" s="1"/>
  <c r="AP41" i="29" s="1"/>
  <c r="E52" i="29"/>
  <c r="E54" i="29" s="1"/>
  <c r="AN47" i="29" s="1"/>
  <c r="T29" i="29"/>
  <c r="T31" i="29" s="1"/>
  <c r="AO39" i="29" s="1"/>
  <c r="F39" i="32"/>
  <c r="F43" i="32" s="1"/>
  <c r="F45" i="32" s="1"/>
  <c r="J63" i="29"/>
  <c r="J65" i="29" s="1"/>
  <c r="AM49" i="29" s="1"/>
  <c r="Y39" i="29"/>
  <c r="Y41" i="29" s="1"/>
  <c r="AP37" i="29" s="1"/>
  <c r="F26" i="32"/>
  <c r="F30" i="32" s="1"/>
  <c r="F32" i="32" s="1"/>
  <c r="L24" i="32" s="1"/>
  <c r="J18" i="29"/>
  <c r="J20" i="29" s="1"/>
  <c r="AM41" i="29" s="1"/>
  <c r="AD52" i="29"/>
  <c r="AD54" i="29" s="1"/>
  <c r="AN57" i="29" s="1"/>
  <c r="I50" i="28"/>
  <c r="I52" i="28" s="1"/>
  <c r="D59" i="31"/>
  <c r="D61" i="31" s="1"/>
  <c r="AH43" i="31" s="1"/>
  <c r="N35" i="31"/>
  <c r="N37" i="31" s="1"/>
  <c r="AE32" i="31" s="1"/>
  <c r="N25" i="31"/>
  <c r="N27" i="31" s="1"/>
  <c r="AE34" i="31" s="1"/>
  <c r="J35" i="30"/>
  <c r="J37" i="30" s="1"/>
  <c r="AM32" i="30" s="1"/>
  <c r="O59" i="30"/>
  <c r="O61" i="30" s="1"/>
  <c r="AM47" i="30" s="1"/>
  <c r="Y25" i="30"/>
  <c r="Y27" i="30" s="1"/>
  <c r="AP34" i="30" s="1"/>
  <c r="Y59" i="30"/>
  <c r="Y61" i="30" s="1"/>
  <c r="AM51" i="30" s="1"/>
  <c r="O48" i="30"/>
  <c r="O50" i="30" s="1"/>
  <c r="AN47" i="30" s="1"/>
  <c r="E29" i="29"/>
  <c r="E31" i="29" s="1"/>
  <c r="AL39" i="29" s="1"/>
  <c r="Y63" i="29"/>
  <c r="Y65" i="29" s="1"/>
  <c r="AM55" i="29" s="1"/>
  <c r="J52" i="29"/>
  <c r="J54" i="29" s="1"/>
  <c r="AN49" i="29" s="1"/>
  <c r="T18" i="29"/>
  <c r="T20" i="29" s="1"/>
  <c r="AO41" i="29" s="1"/>
  <c r="T52" i="29"/>
  <c r="T54" i="29" s="1"/>
  <c r="AN53" i="29" s="1"/>
  <c r="E18" i="29"/>
  <c r="E20" i="29" s="1"/>
  <c r="AL41" i="29" s="1"/>
  <c r="AD63" i="29"/>
  <c r="AD65" i="29" s="1"/>
  <c r="AM57" i="29" s="1"/>
  <c r="N6" i="32"/>
  <c r="E15" i="32" s="1"/>
  <c r="F6" i="32"/>
  <c r="AD8" i="32"/>
  <c r="G5" i="32"/>
  <c r="O5" i="32"/>
  <c r="F14" i="32" s="1"/>
  <c r="E7" i="32"/>
  <c r="M7" i="32"/>
  <c r="D16" i="32" s="1"/>
  <c r="D8" i="32"/>
  <c r="O4" i="32"/>
  <c r="F13" i="32" s="1"/>
  <c r="G4" i="32"/>
  <c r="Y25" i="26"/>
  <c r="E38" i="26"/>
  <c r="E13" i="26"/>
  <c r="J52" i="28"/>
  <c r="E40" i="28"/>
  <c r="O28" i="28"/>
  <c r="N37" i="28"/>
  <c r="N39" i="28" s="1"/>
  <c r="D38" i="28"/>
  <c r="D40" i="28" s="1"/>
  <c r="D25" i="28"/>
  <c r="D27" i="28" s="1"/>
  <c r="I25" i="28"/>
  <c r="I27" i="28" s="1"/>
  <c r="D49" i="28"/>
  <c r="D51" i="28" s="1"/>
  <c r="D13" i="28"/>
  <c r="D15" i="28" s="1"/>
  <c r="I37" i="28"/>
  <c r="I39" i="28" s="1"/>
  <c r="X14" i="28"/>
  <c r="X16" i="28" s="1"/>
  <c r="S25" i="28"/>
  <c r="S27" i="28" s="1"/>
  <c r="O39" i="28"/>
  <c r="T40" i="28"/>
  <c r="S38" i="28"/>
  <c r="S40" i="28" s="1"/>
  <c r="N26" i="28"/>
  <c r="N28" i="28" s="1"/>
  <c r="S13" i="28"/>
  <c r="S15" i="28" s="1"/>
  <c r="E27" i="28"/>
  <c r="T27" i="28"/>
  <c r="X25" i="28"/>
  <c r="X27" i="28" s="1"/>
  <c r="I14" i="28"/>
  <c r="I16" i="28" s="1"/>
  <c r="T38" i="27"/>
  <c r="T25" i="27"/>
  <c r="T38" i="26"/>
  <c r="E49" i="26"/>
  <c r="S38" i="26"/>
  <c r="E13" i="27"/>
  <c r="O13" i="27"/>
  <c r="I51" i="27"/>
  <c r="I52" i="27" s="1"/>
  <c r="N50" i="27"/>
  <c r="N51" i="27" s="1"/>
  <c r="D50" i="27"/>
  <c r="D51" i="27" s="1"/>
  <c r="N27" i="27"/>
  <c r="N28" i="27" s="1"/>
  <c r="S26" i="27"/>
  <c r="S27" i="27" s="1"/>
  <c r="I26" i="27"/>
  <c r="I27" i="27" s="1"/>
  <c r="X15" i="27"/>
  <c r="X16" i="27" s="1"/>
  <c r="S14" i="27"/>
  <c r="S15" i="27" s="1"/>
  <c r="D39" i="27"/>
  <c r="D40" i="27" s="1"/>
  <c r="N38" i="27"/>
  <c r="N39" i="27" s="1"/>
  <c r="D26" i="27"/>
  <c r="D27" i="27" s="1"/>
  <c r="I15" i="27"/>
  <c r="I16" i="27" s="1"/>
  <c r="D14" i="27"/>
  <c r="D15" i="27" s="1"/>
  <c r="X38" i="27"/>
  <c r="X39" i="27" s="1"/>
  <c r="S39" i="27"/>
  <c r="S40" i="27" s="1"/>
  <c r="I38" i="27"/>
  <c r="I39" i="27" s="1"/>
  <c r="N14" i="27"/>
  <c r="N15" i="27" s="1"/>
  <c r="X26" i="27"/>
  <c r="X27" i="27" s="1"/>
  <c r="Y37" i="27"/>
  <c r="E25" i="27"/>
  <c r="Y14" i="27"/>
  <c r="J25" i="27"/>
  <c r="O37" i="27"/>
  <c r="T39" i="27"/>
  <c r="Y38" i="27"/>
  <c r="O38" i="27"/>
  <c r="O14" i="27"/>
  <c r="E50" i="27"/>
  <c r="J38" i="27"/>
  <c r="T14" i="27"/>
  <c r="J51" i="27"/>
  <c r="Y26" i="27"/>
  <c r="J26" i="27"/>
  <c r="O50" i="27"/>
  <c r="E39" i="27"/>
  <c r="O27" i="27"/>
  <c r="E26" i="27"/>
  <c r="J15" i="27"/>
  <c r="T26" i="27"/>
  <c r="Y15" i="27"/>
  <c r="E14" i="27"/>
  <c r="T13" i="27"/>
  <c r="T15" i="27" s="1"/>
  <c r="O26" i="27"/>
  <c r="E38" i="27"/>
  <c r="E49" i="27"/>
  <c r="E51" i="27" s="1"/>
  <c r="J50" i="27"/>
  <c r="J37" i="27"/>
  <c r="Y25" i="27"/>
  <c r="Y27" i="27" s="1"/>
  <c r="O49" i="27"/>
  <c r="J14" i="27"/>
  <c r="T13" i="26"/>
  <c r="E25" i="26"/>
  <c r="Y37" i="26"/>
  <c r="J37" i="26"/>
  <c r="O49" i="26"/>
  <c r="Y14" i="26"/>
  <c r="J50" i="26"/>
  <c r="J25" i="26"/>
  <c r="O26" i="26"/>
  <c r="O37" i="26"/>
  <c r="X37" i="26"/>
  <c r="I37" i="26"/>
  <c r="I50" i="26"/>
  <c r="N37" i="26"/>
  <c r="D25" i="26"/>
  <c r="D49" i="26"/>
  <c r="S25" i="26"/>
  <c r="X14" i="26"/>
  <c r="I14" i="26"/>
  <c r="S13" i="26"/>
  <c r="N49" i="26"/>
  <c r="D38" i="26"/>
  <c r="S39" i="26"/>
  <c r="X38" i="26"/>
  <c r="N38" i="26"/>
  <c r="D50" i="26"/>
  <c r="I38" i="26"/>
  <c r="S26" i="26"/>
  <c r="D26" i="26"/>
  <c r="X15" i="26"/>
  <c r="I15" i="26"/>
  <c r="S14" i="26"/>
  <c r="D14" i="26"/>
  <c r="N50" i="26"/>
  <c r="N14" i="26"/>
  <c r="I51" i="26"/>
  <c r="D39" i="26"/>
  <c r="N27" i="26"/>
  <c r="X26" i="26"/>
  <c r="I26" i="26"/>
  <c r="J14" i="26"/>
  <c r="I25" i="26"/>
  <c r="N26" i="26"/>
  <c r="N13" i="26"/>
  <c r="Y26" i="26"/>
  <c r="E26" i="26"/>
  <c r="E27" i="26" s="1"/>
  <c r="J15" i="26"/>
  <c r="O14" i="26"/>
  <c r="E14" i="26"/>
  <c r="O50" i="26"/>
  <c r="J51" i="26"/>
  <c r="T39" i="26"/>
  <c r="E39" i="26"/>
  <c r="O27" i="26"/>
  <c r="O38" i="26"/>
  <c r="J26" i="26"/>
  <c r="E50" i="26"/>
  <c r="T26" i="26"/>
  <c r="T27" i="26" s="1"/>
  <c r="Y15" i="26"/>
  <c r="Y38" i="26"/>
  <c r="J38" i="26"/>
  <c r="T14" i="26"/>
  <c r="O13" i="26"/>
  <c r="X25" i="26"/>
  <c r="D13" i="26"/>
  <c r="D15" i="26" s="1"/>
  <c r="AP32" i="30" l="1"/>
  <c r="AH32" i="30"/>
  <c r="D9" i="32"/>
  <c r="E8" i="32"/>
  <c r="M8" i="32"/>
  <c r="D17" i="32" s="1"/>
  <c r="G14" i="32"/>
  <c r="AB4" i="32" s="1"/>
  <c r="AA4" i="32"/>
  <c r="G6" i="32"/>
  <c r="O6" i="32"/>
  <c r="F15" i="32" s="1"/>
  <c r="P5" i="32"/>
  <c r="H14" i="32" s="1"/>
  <c r="AC4" i="32" s="1"/>
  <c r="H5" i="32"/>
  <c r="P4" i="32"/>
  <c r="H13" i="32" s="1"/>
  <c r="AC3" i="32" s="1"/>
  <c r="H4" i="32"/>
  <c r="N7" i="32"/>
  <c r="E16" i="32" s="1"/>
  <c r="F7" i="32"/>
  <c r="G13" i="32"/>
  <c r="AB3" i="32" s="1"/>
  <c r="AA3" i="32"/>
  <c r="E40" i="26"/>
  <c r="Y27" i="26"/>
  <c r="E15" i="26"/>
  <c r="S40" i="26"/>
  <c r="J27" i="26"/>
  <c r="I27" i="26"/>
  <c r="D51" i="26"/>
  <c r="J39" i="27"/>
  <c r="Y16" i="27"/>
  <c r="T40" i="27"/>
  <c r="O28" i="27"/>
  <c r="E27" i="27"/>
  <c r="T27" i="27"/>
  <c r="T15" i="26"/>
  <c r="J39" i="26"/>
  <c r="E51" i="26"/>
  <c r="J16" i="26"/>
  <c r="J52" i="26"/>
  <c r="Y39" i="26"/>
  <c r="T40" i="26"/>
  <c r="O39" i="26"/>
  <c r="Y16" i="26"/>
  <c r="O15" i="27"/>
  <c r="J52" i="27"/>
  <c r="J16" i="27"/>
  <c r="O39" i="27"/>
  <c r="Y39" i="27"/>
  <c r="E15" i="27"/>
  <c r="O51" i="27"/>
  <c r="E40" i="27"/>
  <c r="J27" i="27"/>
  <c r="O28" i="26"/>
  <c r="O51" i="26"/>
  <c r="I39" i="26"/>
  <c r="X39" i="26"/>
  <c r="X16" i="26"/>
  <c r="N39" i="26"/>
  <c r="D27" i="26"/>
  <c r="I52" i="26"/>
  <c r="S27" i="26"/>
  <c r="N51" i="26"/>
  <c r="S15" i="26"/>
  <c r="X27" i="26"/>
  <c r="N15" i="26"/>
  <c r="I16" i="26"/>
  <c r="O15" i="26"/>
  <c r="N28" i="26"/>
  <c r="D40" i="26"/>
  <c r="H6" i="32" l="1"/>
  <c r="P6" i="32"/>
  <c r="H15" i="32" s="1"/>
  <c r="F8" i="32"/>
  <c r="N8" i="32"/>
  <c r="E17" i="32" s="1"/>
  <c r="O7" i="32"/>
  <c r="F16" i="32" s="1"/>
  <c r="G7" i="32"/>
  <c r="Q5" i="32"/>
  <c r="M9" i="32"/>
  <c r="D18" i="32" s="1"/>
  <c r="E9" i="32"/>
  <c r="I5" i="32"/>
  <c r="AF4" i="32" s="1"/>
  <c r="AG4" i="32" s="1"/>
  <c r="I4" i="32"/>
  <c r="AF3" i="32" s="1"/>
  <c r="AG3" i="32" s="1"/>
  <c r="Q4" i="32"/>
  <c r="AA5" i="32"/>
  <c r="G15" i="32"/>
  <c r="AB5" i="32" s="1"/>
  <c r="F10" i="32" l="1"/>
  <c r="O10" i="32" s="1"/>
  <c r="F19" i="32" s="1"/>
  <c r="F9" i="32"/>
  <c r="N9" i="32"/>
  <c r="E18" i="32" s="1"/>
  <c r="H7" i="32"/>
  <c r="P7" i="32"/>
  <c r="H16" i="32" s="1"/>
  <c r="AC5" i="32"/>
  <c r="V25" i="32"/>
  <c r="V26" i="32" s="1"/>
  <c r="U32" i="32" s="1"/>
  <c r="U30" i="32" s="1"/>
  <c r="AA6" i="32"/>
  <c r="G16" i="32"/>
  <c r="AB6" i="32" s="1"/>
  <c r="Q6" i="32"/>
  <c r="AI3" i="32"/>
  <c r="AH3" i="32"/>
  <c r="I6" i="32"/>
  <c r="AF5" i="32" s="1"/>
  <c r="AG5" i="32" s="1"/>
  <c r="AH4" i="32"/>
  <c r="AI4" i="32"/>
  <c r="O8" i="32"/>
  <c r="F17" i="32" s="1"/>
  <c r="G8" i="32"/>
  <c r="P8" i="32" l="1"/>
  <c r="H17" i="32" s="1"/>
  <c r="AC7" i="32" s="1"/>
  <c r="H8" i="32"/>
  <c r="AH5" i="32"/>
  <c r="AI5" i="32"/>
  <c r="G9" i="32"/>
  <c r="O9" i="32"/>
  <c r="F18" i="32" s="1"/>
  <c r="AA7" i="32"/>
  <c r="G17" i="32"/>
  <c r="AB7" i="32" s="1"/>
  <c r="AC6" i="32"/>
  <c r="G19" i="32"/>
  <c r="AB9" i="32" s="1"/>
  <c r="AA9" i="32"/>
  <c r="Q7" i="32"/>
  <c r="I7" i="32"/>
  <c r="AF6" i="32" s="1"/>
  <c r="AG6" i="32" s="1"/>
  <c r="G18" i="32" l="1"/>
  <c r="AB8" i="32" s="1"/>
  <c r="AC12" i="32" s="1"/>
  <c r="AF13" i="32" s="1"/>
  <c r="AA8" i="32"/>
  <c r="Q8" i="32"/>
  <c r="AI6" i="32"/>
  <c r="AH6" i="32"/>
  <c r="P9" i="32"/>
  <c r="H18" i="32" s="1"/>
  <c r="AC8" i="32" s="1"/>
  <c r="H9" i="32"/>
  <c r="Q9" i="32" s="1"/>
  <c r="I8" i="32"/>
  <c r="AF7" i="32" s="1"/>
  <c r="AG7" i="32" s="1"/>
  <c r="AC13" i="32"/>
  <c r="AF15" i="32" s="1"/>
  <c r="L25" i="32"/>
  <c r="L26" i="32" s="1"/>
  <c r="K32" i="32" s="1"/>
  <c r="K30" i="32" s="1"/>
  <c r="AI7" i="32" l="1"/>
  <c r="AH7" i="32"/>
  <c r="I9" i="32"/>
  <c r="AF8" i="32" s="1"/>
  <c r="AG8" i="32" s="1"/>
  <c r="AI8" i="32" l="1"/>
  <c r="AC16" i="32" s="1"/>
  <c r="AF14" i="32" s="1"/>
  <c r="AH8" i="32"/>
  <c r="AC15" i="32" s="1"/>
  <c r="AF16" i="32" s="1"/>
  <c r="Y119" i="25" l="1"/>
  <c r="X119" i="25"/>
  <c r="AB119" i="25" s="1"/>
  <c r="U119" i="25"/>
  <c r="Y118" i="25"/>
  <c r="U118" i="25"/>
  <c r="X118" i="25" s="1"/>
  <c r="AB118" i="25" s="1"/>
  <c r="Z117" i="25"/>
  <c r="Y117" i="25"/>
  <c r="U117" i="25"/>
  <c r="X117" i="25" s="1"/>
  <c r="AB117" i="25" s="1"/>
  <c r="Z116" i="25"/>
  <c r="Y116" i="25"/>
  <c r="Y115" i="25"/>
  <c r="U115" i="25"/>
  <c r="X115" i="25" s="1"/>
  <c r="Z114" i="25"/>
  <c r="Y114" i="25"/>
  <c r="U114" i="25"/>
  <c r="Z113" i="25"/>
  <c r="Y113" i="25"/>
  <c r="U113" i="25"/>
  <c r="X113" i="25" s="1"/>
  <c r="AB113" i="25" s="1"/>
  <c r="Y112" i="25"/>
  <c r="W112" i="25"/>
  <c r="U112" i="25"/>
  <c r="X112" i="25" s="1"/>
  <c r="E43" i="25"/>
  <c r="E42" i="25"/>
  <c r="E41" i="25"/>
  <c r="E40" i="25"/>
  <c r="E39" i="25"/>
  <c r="E38" i="25"/>
  <c r="D34" i="25"/>
  <c r="G34" i="25" s="1"/>
  <c r="I33" i="25"/>
  <c r="H33" i="25"/>
  <c r="D33" i="25"/>
  <c r="G33" i="25" s="1"/>
  <c r="J33" i="25" s="1"/>
  <c r="I32" i="25"/>
  <c r="D32" i="25"/>
  <c r="G32" i="25" s="1"/>
  <c r="H32" i="25" s="1"/>
  <c r="J32" i="25" s="1"/>
  <c r="I31" i="25"/>
  <c r="D31" i="25"/>
  <c r="G31" i="25" s="1"/>
  <c r="H31" i="25" s="1"/>
  <c r="H30" i="25"/>
  <c r="D30" i="25"/>
  <c r="G30" i="25" s="1"/>
  <c r="H29" i="25"/>
  <c r="D29" i="25"/>
  <c r="G29" i="25" s="1"/>
  <c r="H28" i="25"/>
  <c r="D28" i="25"/>
  <c r="G28" i="25" s="1"/>
  <c r="H27" i="25"/>
  <c r="F27" i="25"/>
  <c r="D27" i="25"/>
  <c r="G27" i="25" s="1"/>
  <c r="AE23" i="25"/>
  <c r="AE22" i="25" s="1"/>
  <c r="AP21" i="25"/>
  <c r="H21" i="25"/>
  <c r="D21" i="25"/>
  <c r="G21" i="25" s="1"/>
  <c r="J21" i="25" s="1"/>
  <c r="I20" i="25"/>
  <c r="H20" i="25"/>
  <c r="D20" i="25"/>
  <c r="G20" i="25" s="1"/>
  <c r="J20" i="25" s="1"/>
  <c r="I19" i="25"/>
  <c r="H19" i="25"/>
  <c r="D19" i="25"/>
  <c r="U116" i="25" s="1"/>
  <c r="X116" i="25" s="1"/>
  <c r="AB116" i="25" s="1"/>
  <c r="AD18" i="25"/>
  <c r="H18" i="25"/>
  <c r="AD17" i="25"/>
  <c r="I17" i="25"/>
  <c r="H17" i="25"/>
  <c r="AD16" i="25"/>
  <c r="I16" i="25"/>
  <c r="H16" i="25"/>
  <c r="H15" i="25"/>
  <c r="F15" i="25"/>
  <c r="AT12" i="25"/>
  <c r="AH12" i="25"/>
  <c r="AH16" i="25" s="1"/>
  <c r="AT11" i="25"/>
  <c r="AM9" i="25"/>
  <c r="H9" i="25"/>
  <c r="D9" i="25"/>
  <c r="G9" i="25" s="1"/>
  <c r="J9" i="25" s="1"/>
  <c r="AM8" i="25"/>
  <c r="Q8" i="25"/>
  <c r="Z115" i="25" s="1"/>
  <c r="I8" i="25"/>
  <c r="I30" i="25" s="1"/>
  <c r="H8" i="25"/>
  <c r="D8" i="25"/>
  <c r="G8" i="25" s="1"/>
  <c r="J8" i="25" s="1"/>
  <c r="AM7" i="25"/>
  <c r="F41" i="25"/>
  <c r="G41" i="25" s="1"/>
  <c r="I7" i="25"/>
  <c r="I29" i="25" s="1"/>
  <c r="H7" i="25"/>
  <c r="D7" i="25"/>
  <c r="G7" i="25" s="1"/>
  <c r="J7" i="25" s="1"/>
  <c r="AM6" i="25"/>
  <c r="I6" i="25"/>
  <c r="H6" i="25"/>
  <c r="D6" i="25"/>
  <c r="D18" i="25" s="1"/>
  <c r="G18" i="25" s="1"/>
  <c r="AM5" i="25"/>
  <c r="I5" i="25"/>
  <c r="H5" i="25"/>
  <c r="D5" i="25"/>
  <c r="G17" i="25" s="1"/>
  <c r="J17" i="25" s="1"/>
  <c r="AF4" i="25"/>
  <c r="I4" i="25"/>
  <c r="H4" i="25"/>
  <c r="D4" i="25"/>
  <c r="D16" i="25" s="1"/>
  <c r="G16" i="25" s="1"/>
  <c r="J16" i="25" s="1"/>
  <c r="H3" i="25"/>
  <c r="F3" i="25"/>
  <c r="D3" i="25"/>
  <c r="D15" i="25" s="1"/>
  <c r="G15" i="25" s="1"/>
  <c r="Q6" i="25"/>
  <c r="G6" i="25" l="1"/>
  <c r="J6" i="25" s="1"/>
  <c r="G4" i="25"/>
  <c r="J4" i="25" s="1"/>
  <c r="AF5" i="25"/>
  <c r="D17" i="25"/>
  <c r="X114" i="25"/>
  <c r="AB114" i="25" s="1"/>
  <c r="G5" i="25"/>
  <c r="J5" i="25" s="1"/>
  <c r="J18" i="25"/>
  <c r="J29" i="25"/>
  <c r="J28" i="25"/>
  <c r="J34" i="25"/>
  <c r="H34" i="25"/>
  <c r="I3" i="25"/>
  <c r="AF6" i="25" s="1"/>
  <c r="AM16" i="25" s="1"/>
  <c r="AP16" i="25" s="1"/>
  <c r="Z112" i="25"/>
  <c r="AB112" i="25" s="1"/>
  <c r="I15" i="25"/>
  <c r="J15" i="25" s="1"/>
  <c r="AF7" i="25"/>
  <c r="J30" i="25"/>
  <c r="J31" i="25"/>
  <c r="AB115" i="25"/>
  <c r="I27" i="25"/>
  <c r="J27" i="25" s="1"/>
  <c r="F38" i="25"/>
  <c r="G38" i="25" s="1"/>
  <c r="G3" i="25"/>
  <c r="I18" i="25"/>
  <c r="G19" i="25"/>
  <c r="J19" i="25" s="1"/>
  <c r="I28" i="25"/>
  <c r="F43" i="25"/>
  <c r="G43" i="25" s="1"/>
  <c r="F42" i="25"/>
  <c r="G42" i="25" s="1"/>
  <c r="F39" i="25"/>
  <c r="G39" i="25" s="1"/>
  <c r="F40" i="25"/>
  <c r="G40" i="25" s="1"/>
  <c r="J35" i="25" l="1"/>
  <c r="AG4" i="25" s="1"/>
  <c r="AL5" i="25" s="1"/>
  <c r="AN5" i="25" s="1"/>
  <c r="J3" i="25"/>
  <c r="J10" i="25" s="1"/>
  <c r="P13" i="25" s="1"/>
  <c r="AH6" i="25" s="1"/>
  <c r="AB120" i="25"/>
  <c r="AF119" i="25" s="1"/>
  <c r="G44" i="25"/>
  <c r="J22" i="25"/>
  <c r="J32" i="24"/>
  <c r="N32" i="24" s="1"/>
  <c r="P32" i="24" s="1"/>
  <c r="J31" i="24"/>
  <c r="N31" i="24" s="1"/>
  <c r="P31" i="24" s="1"/>
  <c r="J30" i="24"/>
  <c r="N30" i="24" s="1"/>
  <c r="P30" i="24" s="1"/>
  <c r="P33" i="24" s="1"/>
  <c r="P29" i="24"/>
  <c r="N29" i="24"/>
  <c r="M29" i="24"/>
  <c r="O28" i="24"/>
  <c r="O27" i="24"/>
  <c r="O26" i="24"/>
  <c r="O25" i="24"/>
  <c r="F25" i="24"/>
  <c r="C21" i="24"/>
  <c r="F15" i="24" s="1"/>
  <c r="F20" i="24" s="1"/>
  <c r="J28" i="24" s="1"/>
  <c r="F19" i="24"/>
  <c r="F18" i="24"/>
  <c r="F17" i="24"/>
  <c r="F16" i="24"/>
  <c r="K15" i="24"/>
  <c r="H14" i="24"/>
  <c r="H13" i="24"/>
  <c r="H12" i="24"/>
  <c r="F10" i="24"/>
  <c r="K17" i="24" s="1"/>
  <c r="F9" i="24"/>
  <c r="K16" i="24" s="1"/>
  <c r="F8" i="24"/>
  <c r="K7" i="24"/>
  <c r="F7" i="24"/>
  <c r="K14" i="24" s="1"/>
  <c r="K6" i="24"/>
  <c r="K9" i="24" s="1"/>
  <c r="J26" i="24" s="1"/>
  <c r="F6" i="24"/>
  <c r="K13" i="24" s="1"/>
  <c r="K5" i="24"/>
  <c r="F5" i="24"/>
  <c r="F11" i="24" s="1"/>
  <c r="K11" i="23"/>
  <c r="P12" i="25" l="1"/>
  <c r="AI6" i="25" s="1"/>
  <c r="P34" i="25"/>
  <c r="P35" i="25"/>
  <c r="AH4" i="25" s="1"/>
  <c r="AF120" i="25"/>
  <c r="AG6" i="25"/>
  <c r="AL10" i="25" s="1"/>
  <c r="AN10" i="25" s="1"/>
  <c r="P24" i="25"/>
  <c r="AH7" i="25" s="1"/>
  <c r="P23" i="25"/>
  <c r="AG7" i="25"/>
  <c r="P43" i="25"/>
  <c r="AG5" i="25"/>
  <c r="P44" i="25"/>
  <c r="AH5" i="25" s="1"/>
  <c r="N28" i="24"/>
  <c r="P28" i="24" s="1"/>
  <c r="M28" i="24"/>
  <c r="N26" i="24"/>
  <c r="P26" i="24" s="1"/>
  <c r="M26" i="24"/>
  <c r="M25" i="24"/>
  <c r="N25" i="24"/>
  <c r="P25" i="24" s="1"/>
  <c r="K12" i="24"/>
  <c r="K18" i="24" s="1"/>
  <c r="J27" i="24" s="1"/>
  <c r="M30" i="24"/>
  <c r="M33" i="24" s="1"/>
  <c r="M31" i="24"/>
  <c r="M32" i="24"/>
  <c r="F7" i="20" l="1"/>
  <c r="AI7" i="25"/>
  <c r="F8" i="20"/>
  <c r="E13" i="20" s="1"/>
  <c r="AL7" i="25"/>
  <c r="AN7" i="25" s="1"/>
  <c r="P39" i="25"/>
  <c r="F9" i="20" s="1"/>
  <c r="E14" i="20" s="1"/>
  <c r="AL8" i="25"/>
  <c r="AN8" i="25" s="1"/>
  <c r="AL9" i="25"/>
  <c r="AN9" i="25" s="1"/>
  <c r="AL6" i="25"/>
  <c r="AN6" i="25" s="1"/>
  <c r="AI4" i="25"/>
  <c r="P40" i="25"/>
  <c r="AH10" i="25"/>
  <c r="AH14" i="25" s="1"/>
  <c r="N27" i="24"/>
  <c r="P27" i="24" s="1"/>
  <c r="M27" i="24"/>
  <c r="F13" i="20" l="1"/>
  <c r="P7" i="20"/>
  <c r="P6" i="20"/>
  <c r="AN11" i="25"/>
  <c r="AQ7" i="25" s="1"/>
  <c r="F16" i="20"/>
  <c r="AQ6" i="25" l="1"/>
  <c r="AS6" i="25" s="1"/>
  <c r="AQ4" i="25"/>
  <c r="AT4" i="25" s="1"/>
  <c r="AQ8" i="25"/>
  <c r="AS8" i="25" s="1"/>
  <c r="AQ9" i="25"/>
  <c r="AT9" i="25" s="1"/>
  <c r="AQ5" i="25"/>
  <c r="AS5" i="25" s="1"/>
  <c r="AS7" i="25"/>
  <c r="AT7" i="25"/>
  <c r="AT6" i="25" l="1"/>
  <c r="AT8" i="25"/>
  <c r="AS4" i="25"/>
  <c r="AT5" i="25"/>
  <c r="AS9" i="25"/>
  <c r="AQ10" i="25"/>
  <c r="K11" i="20" l="1"/>
  <c r="K10" i="20" s="1"/>
  <c r="F14" i="20"/>
  <c r="E12" i="20"/>
  <c r="Q9" i="20"/>
  <c r="Q8" i="20"/>
  <c r="Q7" i="20" s="1"/>
  <c r="Q6" i="20" s="1"/>
  <c r="Q5" i="20" s="1"/>
  <c r="K3" i="20"/>
  <c r="P9" i="20" l="1"/>
  <c r="R9" i="20" s="1"/>
  <c r="E15" i="20"/>
  <c r="F15" i="20" s="1"/>
  <c r="M6" i="20" s="1"/>
  <c r="P10" i="20"/>
  <c r="R10" i="20" s="1"/>
  <c r="P5" i="20"/>
  <c r="R5" i="20" s="1"/>
  <c r="F12" i="20"/>
  <c r="R6" i="20"/>
  <c r="R7" i="20"/>
  <c r="P8" i="20"/>
  <c r="R8" i="20" s="1"/>
  <c r="R11" i="20" l="1"/>
  <c r="U8" i="20" s="1"/>
  <c r="U5" i="20" l="1"/>
  <c r="U9" i="20"/>
  <c r="U6" i="20"/>
  <c r="U4" i="20"/>
  <c r="U7" i="20"/>
  <c r="U10" i="20" l="1"/>
</calcChain>
</file>

<file path=xl/comments1.xml><?xml version="1.0" encoding="utf-8"?>
<comments xmlns="http://schemas.openxmlformats.org/spreadsheetml/2006/main">
  <authors>
    <author>Pc</author>
  </authors>
  <commentList>
    <comment ref="B4" authorId="0" shapeId="0">
      <text>
        <r>
          <rPr>
            <b/>
            <sz val="9"/>
            <color indexed="81"/>
            <rFont val="Tahoma"/>
            <family val="2"/>
          </rPr>
          <t>Pc:</t>
        </r>
        <r>
          <rPr>
            <sz val="9"/>
            <color indexed="81"/>
            <rFont val="Tahoma"/>
            <family val="2"/>
          </rPr>
          <t xml:space="preserve">
cls con argilla espansa dosato a 1,50 kN/m</t>
        </r>
        <r>
          <rPr>
            <vertAlign val="superscript"/>
            <sz val="9"/>
            <color indexed="81"/>
            <rFont val="Tahoma"/>
            <family val="2"/>
          </rPr>
          <t>3</t>
        </r>
        <r>
          <rPr>
            <sz val="9"/>
            <color indexed="81"/>
            <rFont val="Tahoma"/>
            <family val="2"/>
          </rPr>
          <t xml:space="preserve"> di cemento per 1 m</t>
        </r>
        <r>
          <rPr>
            <vertAlign val="superscript"/>
            <sz val="9"/>
            <color indexed="81"/>
            <rFont val="Tahoma"/>
            <family val="2"/>
          </rPr>
          <t xml:space="preserve">3 </t>
        </r>
        <r>
          <rPr>
            <sz val="9"/>
            <color indexed="81"/>
            <rFont val="Tahoma"/>
            <family val="2"/>
          </rPr>
          <t>di impasto</t>
        </r>
      </text>
    </comment>
    <comment ref="F5" authorId="0" shapeId="0">
      <text>
        <r>
          <rPr>
            <b/>
            <sz val="9"/>
            <color indexed="81"/>
            <rFont val="Tahoma"/>
            <family val="2"/>
          </rPr>
          <t>Pc:</t>
        </r>
        <r>
          <rPr>
            <sz val="9"/>
            <color indexed="81"/>
            <rFont val="Tahoma"/>
            <family val="2"/>
          </rPr>
          <t xml:space="preserve">
8,65 numero di pignatte al m</t>
        </r>
        <r>
          <rPr>
            <vertAlign val="superscript"/>
            <sz val="9"/>
            <color indexed="81"/>
            <rFont val="Tahoma"/>
            <family val="2"/>
          </rPr>
          <t>2</t>
        </r>
      </text>
    </comment>
    <comment ref="K5" authorId="0" shapeId="0">
      <text>
        <r>
          <rPr>
            <b/>
            <sz val="9"/>
            <color indexed="81"/>
            <rFont val="Tahoma"/>
            <family val="2"/>
          </rPr>
          <t>Pc:</t>
        </r>
        <r>
          <rPr>
            <sz val="9"/>
            <color indexed="81"/>
            <rFont val="Tahoma"/>
            <family val="2"/>
          </rPr>
          <t xml:space="preserve">
8,65 numero di pignatte al m</t>
        </r>
        <r>
          <rPr>
            <vertAlign val="superscript"/>
            <sz val="9"/>
            <color indexed="81"/>
            <rFont val="Tahoma"/>
            <family val="2"/>
          </rPr>
          <t>2</t>
        </r>
      </text>
    </comment>
    <comment ref="F6" authorId="0" shapeId="0">
      <text>
        <r>
          <rPr>
            <b/>
            <sz val="9"/>
            <color indexed="81"/>
            <rFont val="Tahoma"/>
            <family val="2"/>
          </rPr>
          <t>Pc:</t>
        </r>
        <r>
          <rPr>
            <sz val="9"/>
            <color indexed="81"/>
            <rFont val="Tahoma"/>
            <family val="2"/>
          </rPr>
          <t xml:space="preserve">
3 numero di travetti al m
dim. 8x18x100 [cm] </t>
        </r>
      </text>
    </comment>
    <comment ref="K6" authorId="0" shapeId="0">
      <text>
        <r>
          <rPr>
            <b/>
            <sz val="9"/>
            <color indexed="81"/>
            <rFont val="Tahoma"/>
            <family val="2"/>
          </rPr>
          <t>Pc:</t>
        </r>
        <r>
          <rPr>
            <sz val="9"/>
            <color indexed="81"/>
            <rFont val="Tahoma"/>
            <family val="2"/>
          </rPr>
          <t xml:space="preserve">
3 numero di travetti al m
dim. 8x18x100 [cm] </t>
        </r>
      </text>
    </comment>
    <comment ref="F7" authorId="0" shapeId="0">
      <text>
        <r>
          <rPr>
            <b/>
            <sz val="9"/>
            <color indexed="81"/>
            <rFont val="Tahoma"/>
            <family val="2"/>
          </rPr>
          <t>Pc:</t>
        </r>
        <r>
          <rPr>
            <sz val="9"/>
            <color indexed="81"/>
            <rFont val="Tahoma"/>
            <family val="2"/>
          </rPr>
          <t xml:space="preserve">
0,04 m spessore della soletta</t>
        </r>
      </text>
    </comment>
    <comment ref="K7" authorId="0" shapeId="0">
      <text>
        <r>
          <rPr>
            <b/>
            <sz val="9"/>
            <color indexed="81"/>
            <rFont val="Tahoma"/>
            <family val="2"/>
          </rPr>
          <t>Pc:</t>
        </r>
        <r>
          <rPr>
            <sz val="9"/>
            <color indexed="81"/>
            <rFont val="Tahoma"/>
            <family val="2"/>
          </rPr>
          <t xml:space="preserve">
0,04 m spessore della soletta</t>
        </r>
      </text>
    </comment>
    <comment ref="H8" authorId="0" shapeId="0">
      <text>
        <r>
          <rPr>
            <b/>
            <sz val="9"/>
            <color indexed="81"/>
            <rFont val="Tahoma"/>
            <family val="2"/>
          </rPr>
          <t>Pc:</t>
        </r>
        <r>
          <rPr>
            <sz val="9"/>
            <color indexed="81"/>
            <rFont val="Tahoma"/>
            <family val="2"/>
          </rPr>
          <t xml:space="preserve">
Manto impermeabilizzante di asfalto o simile</t>
        </r>
      </text>
    </comment>
    <comment ref="B11" authorId="0" shapeId="0">
      <text>
        <r>
          <rPr>
            <b/>
            <sz val="9"/>
            <color indexed="81"/>
            <rFont val="Tahoma"/>
            <family val="2"/>
          </rPr>
          <t>Pc:</t>
        </r>
        <r>
          <rPr>
            <sz val="9"/>
            <color indexed="81"/>
            <rFont val="Tahoma"/>
            <family val="2"/>
          </rPr>
          <t xml:space="preserve">
Pigantta scelta SH18 della ILAP Dim. 33x35x18 [cm]</t>
        </r>
      </text>
    </comment>
    <comment ref="E23" authorId="0" shapeId="0">
      <text>
        <r>
          <rPr>
            <b/>
            <sz val="9"/>
            <color indexed="81"/>
            <rFont val="Tahoma"/>
            <family val="2"/>
          </rPr>
          <t>Pc:
ho preferito un utilizzarla malgrado fosse più leggera della tipologia in c.a.</t>
        </r>
      </text>
    </comment>
  </commentList>
</comments>
</file>

<file path=xl/comments2.xml><?xml version="1.0" encoding="utf-8"?>
<comments xmlns="http://schemas.openxmlformats.org/spreadsheetml/2006/main">
  <authors>
    <author>Pc</author>
  </authors>
  <commentList>
    <comment ref="N3" authorId="0" shapeId="0">
      <text>
        <r>
          <rPr>
            <b/>
            <sz val="9"/>
            <color indexed="81"/>
            <rFont val="Tahoma"/>
            <family val="2"/>
          </rPr>
          <t>Pc:</t>
        </r>
        <r>
          <rPr>
            <sz val="9"/>
            <color indexed="81"/>
            <rFont val="Tahoma"/>
            <family val="2"/>
          </rPr>
          <t xml:space="preserve">
Escluso vano ascensore e pianerottolo di arrivo al piano
</t>
        </r>
      </text>
    </comment>
    <comment ref="N7" authorId="0" shapeId="0">
      <text>
        <r>
          <rPr>
            <b/>
            <sz val="9"/>
            <color indexed="81"/>
            <rFont val="Tahoma"/>
            <family val="2"/>
          </rPr>
          <t>Pc:</t>
        </r>
        <r>
          <rPr>
            <sz val="9"/>
            <color indexed="81"/>
            <rFont val="Tahoma"/>
            <family val="2"/>
          </rPr>
          <t xml:space="preserve">
All'area del solaio di copertura è stata sottratta l'area della botola di ispezione pari a 1,5 m</t>
        </r>
        <r>
          <rPr>
            <vertAlign val="superscript"/>
            <sz val="9"/>
            <color indexed="81"/>
            <rFont val="Tahoma"/>
            <family val="2"/>
          </rPr>
          <t>2</t>
        </r>
      </text>
    </comment>
    <comment ref="N8" authorId="0" shapeId="0">
      <text>
        <r>
          <rPr>
            <b/>
            <sz val="9"/>
            <color indexed="81"/>
            <rFont val="Tahoma"/>
            <family val="2"/>
          </rPr>
          <t>Pc:</t>
        </r>
        <r>
          <rPr>
            <sz val="9"/>
            <color indexed="81"/>
            <rFont val="Tahoma"/>
            <family val="2"/>
          </rPr>
          <t xml:space="preserve">
Lunghezza totale delle tamponature sup. ed inf. diviso 2.
Ho considerato la tamponatura esterna perimetrale più quella interna per la divisione degli appartamenti.</t>
        </r>
      </text>
    </comment>
    <comment ref="AE23" authorId="0" shapeId="0">
      <text>
        <r>
          <rPr>
            <b/>
            <sz val="9"/>
            <color indexed="81"/>
            <rFont val="Tahoma"/>
            <family val="2"/>
          </rPr>
          <t>Pc:</t>
        </r>
        <r>
          <rPr>
            <sz val="9"/>
            <color indexed="81"/>
            <rFont val="Tahoma"/>
            <family val="2"/>
          </rPr>
          <t xml:space="preserve">
CD"A"</t>
        </r>
      </text>
    </comment>
    <comment ref="D27" authorId="0" shapeId="0">
      <text>
        <r>
          <rPr>
            <b/>
            <sz val="9"/>
            <color indexed="81"/>
            <rFont val="Tahoma"/>
            <family val="2"/>
          </rPr>
          <t>Pc:</t>
        </r>
        <r>
          <rPr>
            <sz val="9"/>
            <color indexed="81"/>
            <rFont val="Tahoma"/>
            <family val="2"/>
          </rPr>
          <t xml:space="preserve">
 è compreso uno strato di impermeabilizzazione</t>
        </r>
      </text>
    </comment>
    <comment ref="B34" authorId="0" shapeId="0">
      <text>
        <r>
          <rPr>
            <b/>
            <sz val="9"/>
            <color indexed="81"/>
            <rFont val="Tahoma"/>
            <family val="2"/>
          </rPr>
          <t>Pc:</t>
        </r>
        <r>
          <rPr>
            <sz val="9"/>
            <color indexed="81"/>
            <rFont val="Tahoma"/>
            <family val="2"/>
          </rPr>
          <t xml:space="preserve">
Pilastri 30x30 [cm] posti nel solaio di copertura nella linea di colmo</t>
        </r>
      </text>
    </comment>
    <comment ref="B38" authorId="0" shapeId="0">
      <text>
        <r>
          <rPr>
            <b/>
            <sz val="9"/>
            <color indexed="81"/>
            <rFont val="Tahoma"/>
            <family val="2"/>
          </rPr>
          <t>Pc:</t>
        </r>
        <r>
          <rPr>
            <sz val="9"/>
            <color indexed="81"/>
            <rFont val="Tahoma"/>
            <family val="2"/>
          </rPr>
          <t xml:space="preserve">
interasse pari a 50 cm
</t>
        </r>
      </text>
    </comment>
    <comment ref="B39" authorId="0" shapeId="0">
      <text>
        <r>
          <rPr>
            <b/>
            <sz val="9"/>
            <color indexed="81"/>
            <rFont val="Tahoma"/>
            <family val="2"/>
          </rPr>
          <t>Pc:</t>
        </r>
        <r>
          <rPr>
            <sz val="9"/>
            <color indexed="81"/>
            <rFont val="Tahoma"/>
            <family val="2"/>
          </rPr>
          <t xml:space="preserve">
interasse di 50 cm
</t>
        </r>
      </text>
    </comment>
  </commentList>
</comments>
</file>

<file path=xl/comments3.xml><?xml version="1.0" encoding="utf-8"?>
<comments xmlns="http://schemas.openxmlformats.org/spreadsheetml/2006/main">
  <authors>
    <author>Pc</author>
  </authors>
  <commentList>
    <comment ref="H6" authorId="0" shapeId="0">
      <text>
        <r>
          <rPr>
            <b/>
            <sz val="9"/>
            <color indexed="81"/>
            <rFont val="Tahoma"/>
            <family val="2"/>
          </rPr>
          <t>Pc:</t>
        </r>
        <r>
          <rPr>
            <sz val="9"/>
            <color indexed="81"/>
            <rFont val="Tahoma"/>
            <family val="2"/>
          </rPr>
          <t xml:space="preserve">
Coefficiente che vale 0,085 per edifici con struttura con telai in acciaio
 0,075 per edifici con struttura a telaio in cemento armato 
0,050 per le tipologie strutturali ( edifici con pareti in c.a)</t>
        </r>
      </text>
    </comment>
    <comment ref="K11" authorId="0" shapeId="0">
      <text>
        <r>
          <rPr>
            <b/>
            <sz val="9"/>
            <color indexed="81"/>
            <rFont val="Tahoma"/>
            <family val="2"/>
          </rPr>
          <t>Pc:</t>
        </r>
        <r>
          <rPr>
            <sz val="9"/>
            <color indexed="81"/>
            <rFont val="Tahoma"/>
            <family val="2"/>
          </rPr>
          <t xml:space="preserve">
CD"A"</t>
        </r>
      </text>
    </comment>
    <comment ref="H13" authorId="0" shapeId="0">
      <text>
        <r>
          <rPr>
            <b/>
            <sz val="9"/>
            <color indexed="81"/>
            <rFont val="Tahoma"/>
            <family val="2"/>
          </rPr>
          <t>Pc:</t>
        </r>
        <r>
          <rPr>
            <sz val="9"/>
            <color indexed="81"/>
            <rFont val="Tahoma"/>
            <family val="2"/>
          </rPr>
          <t xml:space="preserve">
Fattore riduttivo che tiene conto della regolarità in altezza della struttura</t>
        </r>
      </text>
    </comment>
    <comment ref="B15" authorId="0" shapeId="0">
      <text>
        <r>
          <rPr>
            <b/>
            <sz val="9"/>
            <color indexed="81"/>
            <rFont val="Tahoma"/>
            <family val="2"/>
          </rPr>
          <t>Pc:</t>
        </r>
        <r>
          <rPr>
            <sz val="9"/>
            <color indexed="81"/>
            <rFont val="Tahoma"/>
            <family val="2"/>
          </rPr>
          <t xml:space="preserve">
Totale dei 5 impalcati liberi, il 6° impalcato libero e le due falde è indicato come copertura</t>
        </r>
      </text>
    </comment>
    <comment ref="J20" authorId="0" shapeId="0">
      <text>
        <r>
          <rPr>
            <b/>
            <sz val="9"/>
            <color indexed="81"/>
            <rFont val="Tahoma"/>
            <family val="2"/>
          </rPr>
          <t>Pc:</t>
        </r>
        <r>
          <rPr>
            <sz val="9"/>
            <color indexed="81"/>
            <rFont val="Tahoma"/>
            <family val="2"/>
          </rPr>
          <t xml:space="preserve">
-Quando le ordinate   dello sprettro di risposta elastico risultano elevate può essere preferibile usare classi di duttilità "A"</t>
        </r>
      </text>
    </comment>
    <comment ref="K20" authorId="0" shapeId="0">
      <text>
        <r>
          <rPr>
            <b/>
            <sz val="9"/>
            <color indexed="81"/>
            <rFont val="Tahoma"/>
            <family val="2"/>
          </rPr>
          <t>Pc:</t>
        </r>
        <r>
          <rPr>
            <sz val="9"/>
            <color indexed="81"/>
            <rFont val="Tahoma"/>
            <family val="2"/>
          </rPr>
          <t xml:space="preserve">
-Per strutture con sole travi a spessore è obbligatorio usare classi di duttilità "B"
-Quando le ordinate   dello sprettro di risposta elastico non risultano elevate può essere preferibile usare classi di duttilità "B"</t>
        </r>
      </text>
    </comment>
  </commentList>
</comments>
</file>

<file path=xl/comments4.xml><?xml version="1.0" encoding="utf-8"?>
<comments xmlns="http://schemas.openxmlformats.org/spreadsheetml/2006/main">
  <authors>
    <author>Pc</author>
  </authors>
  <commentList>
    <comment ref="K1" authorId="0" shapeId="0">
      <text>
        <r>
          <rPr>
            <b/>
            <sz val="9"/>
            <color indexed="81"/>
            <rFont val="Tahoma"/>
            <family val="2"/>
          </rPr>
          <t>Pc:</t>
        </r>
        <r>
          <rPr>
            <sz val="9"/>
            <color indexed="81"/>
            <rFont val="Tahoma"/>
            <family val="2"/>
          </rPr>
          <t xml:space="preserve">
Questo incremento si riferisce solo ai telai perimetrali</t>
        </r>
      </text>
    </comment>
    <comment ref="AB2" authorId="0" shapeId="0">
      <text>
        <r>
          <rPr>
            <b/>
            <sz val="9"/>
            <color indexed="81"/>
            <rFont val="Tahoma"/>
            <family val="2"/>
          </rPr>
          <t>Pc:</t>
        </r>
        <r>
          <rPr>
            <sz val="9"/>
            <color indexed="81"/>
            <rFont val="Tahoma"/>
            <family val="2"/>
          </rPr>
          <t xml:space="preserve">
Gerarchie delle resistenze
i momenti dei pilastri, escludendo quello al piede dei pilastri del primo ordine, devono essere incrementati  per rispettare il criterio di gerarchia delle resistenze.
Per le strutture progettate con una CDA si consiglia di moltiplicare tali valori per 1,5.
Per le strutture progettate con una CDB si consiglia di moltiplicare tali valori per 1,3.</t>
        </r>
      </text>
    </comment>
    <comment ref="G12" authorId="0" shapeId="0">
      <text>
        <r>
          <rPr>
            <b/>
            <sz val="9"/>
            <color indexed="81"/>
            <rFont val="Tahoma"/>
            <family val="2"/>
          </rPr>
          <t>Pc: 
Gerarchie delle resistenze</t>
        </r>
        <r>
          <rPr>
            <sz val="9"/>
            <color indexed="81"/>
            <rFont val="Tahoma"/>
            <family val="2"/>
          </rPr>
          <t xml:space="preserve">
i momenti dei pilastri, escludendo quello al piede dei pilastri del primo ordine, devono essere incrementati  per rispettare il criterio di gerarchia delle resistenze.
Per le strutture progettate con una CDA si consiglia di moltiplicare tali valori per 1,5.
Per le strutture progettate con una CDB si consiglia di moltiplicare tali valori per 1,3.</t>
        </r>
      </text>
    </comment>
    <comment ref="L17" authorId="0" shapeId="0">
      <text>
        <r>
          <rPr>
            <b/>
            <sz val="9"/>
            <color indexed="81"/>
            <rFont val="Tahoma"/>
            <family val="2"/>
          </rPr>
          <t>Pc:</t>
        </r>
        <r>
          <rPr>
            <sz val="9"/>
            <color indexed="81"/>
            <rFont val="Tahoma"/>
            <family val="2"/>
          </rPr>
          <t xml:space="preserve">
Ripartisco il taglio globale tra gli 8 pilastri in direzione x</t>
        </r>
      </text>
    </comment>
    <comment ref="J29" authorId="0" shapeId="0">
      <text>
        <r>
          <rPr>
            <b/>
            <sz val="9"/>
            <color indexed="81"/>
            <rFont val="Tahoma"/>
            <family val="2"/>
          </rPr>
          <t>Pc:</t>
        </r>
        <r>
          <rPr>
            <sz val="9"/>
            <color indexed="81"/>
            <rFont val="Tahoma"/>
            <family val="2"/>
          </rPr>
          <t xml:space="preserve">
base assegnata pari a 30 cm</t>
        </r>
      </text>
    </comment>
    <comment ref="M29" authorId="0" shapeId="0">
      <text>
        <r>
          <rPr>
            <b/>
            <sz val="9"/>
            <color indexed="81"/>
            <rFont val="Tahoma"/>
            <family val="2"/>
          </rPr>
          <t>Pc:</t>
        </r>
        <r>
          <rPr>
            <sz val="9"/>
            <color indexed="81"/>
            <rFont val="Tahoma"/>
            <family val="2"/>
          </rPr>
          <t xml:space="preserve">
sezione trasversale della trave emergente  fino al terzo piano </t>
        </r>
      </text>
    </comment>
    <comment ref="T29" authorId="0" shapeId="0">
      <text>
        <r>
          <rPr>
            <b/>
            <sz val="9"/>
            <color indexed="81"/>
            <rFont val="Tahoma"/>
            <family val="2"/>
          </rPr>
          <t>Pc:</t>
        </r>
        <r>
          <rPr>
            <sz val="9"/>
            <color indexed="81"/>
            <rFont val="Tahoma"/>
            <family val="2"/>
          </rPr>
          <t xml:space="preserve">
base assegnata pari a 30 cm</t>
        </r>
      </text>
    </comment>
    <comment ref="W29" authorId="0" shapeId="0">
      <text>
        <r>
          <rPr>
            <b/>
            <sz val="9"/>
            <color indexed="81"/>
            <rFont val="Tahoma"/>
            <family val="2"/>
          </rPr>
          <t>Pc:</t>
        </r>
        <r>
          <rPr>
            <sz val="9"/>
            <color indexed="81"/>
            <rFont val="Tahoma"/>
            <family val="2"/>
          </rPr>
          <t xml:space="preserve">
sezione trasvesale della trave emergente dal quarto piano in poi
</t>
        </r>
      </text>
    </comment>
    <comment ref="J30" authorId="0" shapeId="0">
      <text>
        <r>
          <rPr>
            <b/>
            <sz val="9"/>
            <color indexed="81"/>
            <rFont val="Tahoma"/>
            <family val="2"/>
          </rPr>
          <t>Pc:</t>
        </r>
        <r>
          <rPr>
            <sz val="9"/>
            <color indexed="81"/>
            <rFont val="Tahoma"/>
            <family val="2"/>
          </rPr>
          <t xml:space="preserve">
Incognita</t>
        </r>
      </text>
    </comment>
    <comment ref="T30" authorId="0" shapeId="0">
      <text>
        <r>
          <rPr>
            <b/>
            <sz val="9"/>
            <color indexed="81"/>
            <rFont val="Tahoma"/>
            <family val="2"/>
          </rPr>
          <t>Pc:</t>
        </r>
        <r>
          <rPr>
            <sz val="9"/>
            <color indexed="81"/>
            <rFont val="Tahoma"/>
            <family val="2"/>
          </rPr>
          <t xml:space="preserve">
Incognita</t>
        </r>
      </text>
    </comment>
  </commentList>
</comments>
</file>

<file path=xl/comments5.xml><?xml version="1.0" encoding="utf-8"?>
<comments xmlns="http://schemas.openxmlformats.org/spreadsheetml/2006/main">
  <authors>
    <author>Pc</author>
  </authors>
  <commentList>
    <comment ref="G7" authorId="0" shapeId="0">
      <text>
        <r>
          <rPr>
            <b/>
            <sz val="9"/>
            <color indexed="81"/>
            <rFont val="Tahoma"/>
            <family val="2"/>
          </rPr>
          <t>Pc:</t>
        </r>
        <r>
          <rPr>
            <sz val="9"/>
            <color indexed="81"/>
            <rFont val="Tahoma"/>
            <family val="2"/>
          </rPr>
          <t xml:space="preserve">
</t>
        </r>
      </text>
    </comment>
  </commentList>
</comments>
</file>

<file path=xl/comments6.xml><?xml version="1.0" encoding="utf-8"?>
<comments xmlns="http://schemas.openxmlformats.org/spreadsheetml/2006/main">
  <authors>
    <author>Pc</author>
  </authors>
  <commentList>
    <comment ref="C3" authorId="0" shapeId="0">
      <text>
        <r>
          <rPr>
            <b/>
            <sz val="9"/>
            <color indexed="81"/>
            <rFont val="Tahoma"/>
            <family val="2"/>
          </rPr>
          <t>Pc:</t>
        </r>
        <r>
          <rPr>
            <sz val="9"/>
            <color indexed="81"/>
            <rFont val="Tahoma"/>
            <family val="2"/>
          </rPr>
          <t xml:space="preserve">
</t>
        </r>
      </text>
    </comment>
  </commentList>
</comments>
</file>

<file path=xl/comments7.xml><?xml version="1.0" encoding="utf-8"?>
<comments xmlns="http://schemas.openxmlformats.org/spreadsheetml/2006/main">
  <authors>
    <author>Pc</author>
  </authors>
  <commentList>
    <comment ref="H11" authorId="0" shapeId="0">
      <text>
        <r>
          <rPr>
            <b/>
            <sz val="9"/>
            <color indexed="81"/>
            <rFont val="Tahoma"/>
            <family val="2"/>
          </rPr>
          <t>Pc:</t>
        </r>
        <r>
          <rPr>
            <sz val="9"/>
            <color indexed="81"/>
            <rFont val="Tahoma"/>
            <family val="2"/>
          </rPr>
          <t xml:space="preserve">
trave a spessore </t>
        </r>
      </text>
    </comment>
    <comment ref="W11" authorId="0" shapeId="0">
      <text>
        <r>
          <rPr>
            <b/>
            <sz val="9"/>
            <color indexed="81"/>
            <rFont val="Tahoma"/>
            <family val="2"/>
          </rPr>
          <t>Pc:</t>
        </r>
        <r>
          <rPr>
            <sz val="9"/>
            <color indexed="81"/>
            <rFont val="Tahoma"/>
            <family val="2"/>
          </rPr>
          <t xml:space="preserve">
trave a spessore </t>
        </r>
      </text>
    </comment>
    <comment ref="M23" authorId="0" shapeId="0">
      <text>
        <r>
          <rPr>
            <b/>
            <sz val="9"/>
            <color indexed="81"/>
            <rFont val="Tahoma"/>
            <family val="2"/>
          </rPr>
          <t>Pc:</t>
        </r>
        <r>
          <rPr>
            <sz val="9"/>
            <color indexed="81"/>
            <rFont val="Tahoma"/>
            <family val="2"/>
          </rPr>
          <t xml:space="preserve">
trave a spessore </t>
        </r>
      </text>
    </comment>
    <comment ref="C35" authorId="0" shapeId="0">
      <text>
        <r>
          <rPr>
            <b/>
            <sz val="9"/>
            <color indexed="81"/>
            <rFont val="Tahoma"/>
            <family val="2"/>
          </rPr>
          <t>Pc:</t>
        </r>
        <r>
          <rPr>
            <sz val="9"/>
            <color indexed="81"/>
            <rFont val="Tahoma"/>
            <family val="2"/>
          </rPr>
          <t xml:space="preserve">
trave a spessore </t>
        </r>
      </text>
    </comment>
    <comment ref="R35" authorId="0" shapeId="0">
      <text>
        <r>
          <rPr>
            <b/>
            <sz val="9"/>
            <color indexed="81"/>
            <rFont val="Tahoma"/>
            <family val="2"/>
          </rPr>
          <t>Pc:</t>
        </r>
        <r>
          <rPr>
            <sz val="9"/>
            <color indexed="81"/>
            <rFont val="Tahoma"/>
            <family val="2"/>
          </rPr>
          <t xml:space="preserve">
trave a spessore </t>
        </r>
      </text>
    </comment>
    <comment ref="H47" authorId="0" shapeId="0">
      <text>
        <r>
          <rPr>
            <b/>
            <sz val="9"/>
            <color indexed="81"/>
            <rFont val="Tahoma"/>
            <family val="2"/>
          </rPr>
          <t>Pc:</t>
        </r>
        <r>
          <rPr>
            <sz val="9"/>
            <color indexed="81"/>
            <rFont val="Tahoma"/>
            <family val="2"/>
          </rPr>
          <t xml:space="preserve">
trave a spessore </t>
        </r>
      </text>
    </comment>
  </commentList>
</comments>
</file>

<file path=xl/comments8.xml><?xml version="1.0" encoding="utf-8"?>
<comments xmlns="http://schemas.openxmlformats.org/spreadsheetml/2006/main">
  <authors>
    <author>Pc</author>
  </authors>
  <commentList>
    <comment ref="H11" authorId="0" shapeId="0">
      <text>
        <r>
          <rPr>
            <b/>
            <sz val="9"/>
            <color indexed="81"/>
            <rFont val="Tahoma"/>
            <family val="2"/>
          </rPr>
          <t>Pc:</t>
        </r>
        <r>
          <rPr>
            <sz val="9"/>
            <color indexed="81"/>
            <rFont val="Tahoma"/>
            <family val="2"/>
          </rPr>
          <t xml:space="preserve">
trave a spessore </t>
        </r>
      </text>
    </comment>
    <comment ref="V11" authorId="0" shapeId="0">
      <text>
        <r>
          <rPr>
            <b/>
            <sz val="9"/>
            <color indexed="81"/>
            <rFont val="Tahoma"/>
            <family val="2"/>
          </rPr>
          <t>Pc:</t>
        </r>
        <r>
          <rPr>
            <sz val="9"/>
            <color indexed="81"/>
            <rFont val="Tahoma"/>
            <family val="2"/>
          </rPr>
          <t xml:space="preserve">
trave a spessore 
</t>
        </r>
      </text>
    </comment>
    <comment ref="M23" authorId="0" shapeId="0">
      <text>
        <r>
          <rPr>
            <b/>
            <sz val="9"/>
            <color indexed="81"/>
            <rFont val="Tahoma"/>
            <family val="2"/>
          </rPr>
          <t>Pc:</t>
        </r>
        <r>
          <rPr>
            <sz val="9"/>
            <color indexed="81"/>
            <rFont val="Tahoma"/>
            <family val="2"/>
          </rPr>
          <t xml:space="preserve">
trave a spessore </t>
        </r>
      </text>
    </comment>
    <comment ref="C35" authorId="0" shapeId="0">
      <text>
        <r>
          <rPr>
            <b/>
            <sz val="9"/>
            <color indexed="81"/>
            <rFont val="Tahoma"/>
            <family val="2"/>
          </rPr>
          <t>Pc:</t>
        </r>
        <r>
          <rPr>
            <sz val="9"/>
            <color indexed="81"/>
            <rFont val="Tahoma"/>
            <family val="2"/>
          </rPr>
          <t xml:space="preserve">
trave a spessore </t>
        </r>
      </text>
    </comment>
    <comment ref="R35" authorId="0" shapeId="0">
      <text>
        <r>
          <rPr>
            <b/>
            <sz val="9"/>
            <color indexed="81"/>
            <rFont val="Tahoma"/>
            <family val="2"/>
          </rPr>
          <t>Pc:</t>
        </r>
        <r>
          <rPr>
            <sz val="9"/>
            <color indexed="81"/>
            <rFont val="Tahoma"/>
            <family val="2"/>
          </rPr>
          <t xml:space="preserve">
trave a spessore </t>
        </r>
      </text>
    </comment>
    <comment ref="H47" authorId="0" shapeId="0">
      <text>
        <r>
          <rPr>
            <b/>
            <sz val="9"/>
            <color indexed="81"/>
            <rFont val="Tahoma"/>
            <family val="2"/>
          </rPr>
          <t>Pc:</t>
        </r>
        <r>
          <rPr>
            <sz val="9"/>
            <color indexed="81"/>
            <rFont val="Tahoma"/>
            <family val="2"/>
          </rPr>
          <t xml:space="preserve">
trave a spessore </t>
        </r>
      </text>
    </comment>
  </commentList>
</comments>
</file>

<file path=xl/comments9.xml><?xml version="1.0" encoding="utf-8"?>
<comments xmlns="http://schemas.openxmlformats.org/spreadsheetml/2006/main">
  <authors>
    <author>Pc</author>
  </authors>
  <commentList>
    <comment ref="H11" authorId="0" shapeId="0">
      <text>
        <r>
          <rPr>
            <b/>
            <sz val="9"/>
            <color indexed="81"/>
            <rFont val="Tahoma"/>
            <family val="2"/>
          </rPr>
          <t>Pc:</t>
        </r>
        <r>
          <rPr>
            <sz val="9"/>
            <color indexed="81"/>
            <rFont val="Tahoma"/>
            <family val="2"/>
          </rPr>
          <t xml:space="preserve">
trave a spessore </t>
        </r>
      </text>
    </comment>
    <comment ref="V11" authorId="0" shapeId="0">
      <text>
        <r>
          <rPr>
            <b/>
            <sz val="9"/>
            <color indexed="81"/>
            <rFont val="Tahoma"/>
            <family val="2"/>
          </rPr>
          <t>Pc:</t>
        </r>
        <r>
          <rPr>
            <sz val="9"/>
            <color indexed="81"/>
            <rFont val="Tahoma"/>
            <family val="2"/>
          </rPr>
          <t xml:space="preserve">
trave a spessore 
</t>
        </r>
      </text>
    </comment>
    <comment ref="M23" authorId="0" shapeId="0">
      <text>
        <r>
          <rPr>
            <b/>
            <sz val="9"/>
            <color indexed="81"/>
            <rFont val="Tahoma"/>
            <family val="2"/>
          </rPr>
          <t>Pc:</t>
        </r>
        <r>
          <rPr>
            <sz val="9"/>
            <color indexed="81"/>
            <rFont val="Tahoma"/>
            <family val="2"/>
          </rPr>
          <t xml:space="preserve">
trave a spessore </t>
        </r>
      </text>
    </comment>
    <comment ref="C35" authorId="0" shapeId="0">
      <text>
        <r>
          <rPr>
            <b/>
            <sz val="9"/>
            <color indexed="81"/>
            <rFont val="Tahoma"/>
            <family val="2"/>
          </rPr>
          <t>Pc:</t>
        </r>
        <r>
          <rPr>
            <sz val="9"/>
            <color indexed="81"/>
            <rFont val="Tahoma"/>
            <family val="2"/>
          </rPr>
          <t xml:space="preserve">
trave a spessore </t>
        </r>
      </text>
    </comment>
    <comment ref="R35" authorId="0" shapeId="0">
      <text>
        <r>
          <rPr>
            <b/>
            <sz val="9"/>
            <color indexed="81"/>
            <rFont val="Tahoma"/>
            <family val="2"/>
          </rPr>
          <t>Pc:</t>
        </r>
        <r>
          <rPr>
            <sz val="9"/>
            <color indexed="81"/>
            <rFont val="Tahoma"/>
            <family val="2"/>
          </rPr>
          <t xml:space="preserve">
trave a spessore </t>
        </r>
      </text>
    </comment>
    <comment ref="H47" authorId="0" shapeId="0">
      <text>
        <r>
          <rPr>
            <b/>
            <sz val="9"/>
            <color indexed="81"/>
            <rFont val="Tahoma"/>
            <family val="2"/>
          </rPr>
          <t>Pc:</t>
        </r>
        <r>
          <rPr>
            <sz val="9"/>
            <color indexed="81"/>
            <rFont val="Tahoma"/>
            <family val="2"/>
          </rPr>
          <t xml:space="preserve">
trave a spessore </t>
        </r>
      </text>
    </comment>
  </commentList>
</comments>
</file>

<file path=xl/sharedStrings.xml><?xml version="1.0" encoding="utf-8"?>
<sst xmlns="http://schemas.openxmlformats.org/spreadsheetml/2006/main" count="2464" uniqueCount="421">
  <si>
    <r>
      <t>cls armato [kN/m</t>
    </r>
    <r>
      <rPr>
        <vertAlign val="superscript"/>
        <sz val="11"/>
        <color theme="1"/>
        <rFont val="Calibri"/>
        <family val="2"/>
        <scheme val="minor"/>
      </rPr>
      <t>3</t>
    </r>
    <r>
      <rPr>
        <sz val="11"/>
        <color theme="1"/>
        <rFont val="Calibri"/>
        <family val="2"/>
        <scheme val="minor"/>
      </rPr>
      <t>]</t>
    </r>
  </si>
  <si>
    <r>
      <t>malta di calce [kN/m</t>
    </r>
    <r>
      <rPr>
        <vertAlign val="superscript"/>
        <sz val="11"/>
        <color theme="1"/>
        <rFont val="Calibri"/>
        <family val="2"/>
        <scheme val="minor"/>
      </rPr>
      <t>3</t>
    </r>
    <r>
      <rPr>
        <sz val="11"/>
        <color theme="1"/>
        <rFont val="Calibri"/>
        <family val="2"/>
        <scheme val="minor"/>
      </rPr>
      <t>]</t>
    </r>
  </si>
  <si>
    <r>
      <t>gress [kN/m</t>
    </r>
    <r>
      <rPr>
        <vertAlign val="superscript"/>
        <sz val="11"/>
        <color theme="1"/>
        <rFont val="Calibri"/>
        <family val="2"/>
        <scheme val="minor"/>
      </rPr>
      <t>3</t>
    </r>
    <r>
      <rPr>
        <sz val="11"/>
        <color theme="1"/>
        <rFont val="Calibri"/>
        <family val="2"/>
        <scheme val="minor"/>
      </rPr>
      <t>]</t>
    </r>
  </si>
  <si>
    <r>
      <t>granito [kN/m</t>
    </r>
    <r>
      <rPr>
        <vertAlign val="superscript"/>
        <sz val="11"/>
        <color theme="1"/>
        <rFont val="Calibri"/>
        <family val="2"/>
        <scheme val="minor"/>
      </rPr>
      <t>3</t>
    </r>
    <r>
      <rPr>
        <sz val="11"/>
        <color theme="1"/>
        <rFont val="Calibri"/>
        <family val="2"/>
        <scheme val="minor"/>
      </rPr>
      <t>]</t>
    </r>
  </si>
  <si>
    <r>
      <t>laterizio pieno [kN/m</t>
    </r>
    <r>
      <rPr>
        <vertAlign val="superscript"/>
        <sz val="11"/>
        <color theme="1"/>
        <rFont val="Calibri"/>
        <family val="2"/>
        <scheme val="minor"/>
      </rPr>
      <t>3</t>
    </r>
    <r>
      <rPr>
        <sz val="11"/>
        <color theme="1"/>
        <rFont val="Calibri"/>
        <family val="2"/>
        <scheme val="minor"/>
      </rPr>
      <t>]</t>
    </r>
  </si>
  <si>
    <r>
      <t>laterizio forato [kN/m</t>
    </r>
    <r>
      <rPr>
        <vertAlign val="superscript"/>
        <sz val="11"/>
        <color theme="1"/>
        <rFont val="Calibri"/>
        <family val="2"/>
        <scheme val="minor"/>
      </rPr>
      <t>3</t>
    </r>
    <r>
      <rPr>
        <sz val="11"/>
        <color theme="1"/>
        <rFont val="Calibri"/>
        <family val="2"/>
        <scheme val="minor"/>
      </rPr>
      <t>]</t>
    </r>
  </si>
  <si>
    <r>
      <t>pignatta [kN/m</t>
    </r>
    <r>
      <rPr>
        <vertAlign val="superscript"/>
        <sz val="11"/>
        <color theme="1"/>
        <rFont val="Calibri"/>
        <family val="2"/>
        <scheme val="minor"/>
      </rPr>
      <t>2</t>
    </r>
    <r>
      <rPr>
        <sz val="11"/>
        <color theme="1"/>
        <rFont val="Calibri"/>
        <family val="2"/>
        <scheme val="minor"/>
      </rPr>
      <t>]</t>
    </r>
  </si>
  <si>
    <r>
      <t>pignatta altezza [m</t>
    </r>
    <r>
      <rPr>
        <sz val="11"/>
        <color theme="1"/>
        <rFont val="Calibri"/>
        <family val="2"/>
        <scheme val="minor"/>
      </rPr>
      <t>]</t>
    </r>
  </si>
  <si>
    <t>spessore soletta [m]</t>
  </si>
  <si>
    <t>spessore massetto [m]</t>
  </si>
  <si>
    <t>intonaco [kN/m2]</t>
  </si>
  <si>
    <t>spessore intonaco [m]</t>
  </si>
  <si>
    <t>spessore pavimento [m]</t>
  </si>
  <si>
    <t>Solaio</t>
  </si>
  <si>
    <t xml:space="preserve">Ψ0 </t>
  </si>
  <si>
    <t>Ψ2</t>
  </si>
  <si>
    <t>Ψ1</t>
  </si>
  <si>
    <t>Categoria B, Uffici</t>
  </si>
  <si>
    <t>Categoria A, Ambienti ad uso residenziale</t>
  </si>
  <si>
    <t>Categoria C, Ambienti suscettibili di affollamento</t>
  </si>
  <si>
    <t>Categoria D, Ambienti ad uso commerciale</t>
  </si>
  <si>
    <t>Categoria E, Biblioteche, archivi, magazzini</t>
  </si>
  <si>
    <t>Categoria G, Remesse e parcheggi (veicoli &gt;30kN)</t>
  </si>
  <si>
    <t>Categoria H, Coperture</t>
  </si>
  <si>
    <t>Vento</t>
  </si>
  <si>
    <t>Variazioni termiche</t>
  </si>
  <si>
    <t>Coefficieti parziali di sicurezza del carico</t>
  </si>
  <si>
    <t>γG1</t>
  </si>
  <si>
    <t>γG2=γQ</t>
  </si>
  <si>
    <t>γP</t>
  </si>
  <si>
    <t>Scala</t>
  </si>
  <si>
    <t>Tratto inclinato rampa [m]</t>
  </si>
  <si>
    <t>Alzata [m]</t>
  </si>
  <si>
    <t>Pedata [m]</t>
  </si>
  <si>
    <t>Dati Geometrici della scala</t>
  </si>
  <si>
    <r>
      <t>cls  [kN/m</t>
    </r>
    <r>
      <rPr>
        <vertAlign val="superscript"/>
        <sz val="11"/>
        <color theme="1"/>
        <rFont val="Calibri"/>
        <family val="2"/>
        <scheme val="minor"/>
      </rPr>
      <t>3</t>
    </r>
    <r>
      <rPr>
        <sz val="11"/>
        <color theme="1"/>
        <rFont val="Calibri"/>
        <family val="2"/>
        <scheme val="minor"/>
      </rPr>
      <t>]</t>
    </r>
  </si>
  <si>
    <t>spessore granito [m]</t>
  </si>
  <si>
    <t>Balcone</t>
  </si>
  <si>
    <r>
      <t>malta di cemento [kN/m</t>
    </r>
    <r>
      <rPr>
        <vertAlign val="superscript"/>
        <sz val="11"/>
        <color theme="1"/>
        <rFont val="Calibri"/>
        <family val="2"/>
        <scheme val="minor"/>
      </rPr>
      <t>3</t>
    </r>
    <r>
      <rPr>
        <sz val="11"/>
        <color theme="1"/>
        <rFont val="Calibri"/>
        <family val="2"/>
        <scheme val="minor"/>
      </rPr>
      <t>]</t>
    </r>
  </si>
  <si>
    <t>C</t>
  </si>
  <si>
    <r>
      <t xml:space="preserve">Valori dei coefficienti </t>
    </r>
    <r>
      <rPr>
        <sz val="12"/>
        <color rgb="FFFF0000"/>
        <rFont val="Calibri"/>
        <family val="2"/>
      </rPr>
      <t>Ψ</t>
    </r>
    <r>
      <rPr>
        <vertAlign val="subscript"/>
        <sz val="12"/>
        <color rgb="FFFF0000"/>
        <rFont val="Calibri"/>
        <family val="2"/>
      </rPr>
      <t xml:space="preserve">0 </t>
    </r>
    <r>
      <rPr>
        <sz val="12"/>
        <color rgb="FFFF0000"/>
        <rFont val="Calibri"/>
        <family val="2"/>
      </rPr>
      <t>,Ψ</t>
    </r>
    <r>
      <rPr>
        <vertAlign val="subscript"/>
        <sz val="12"/>
        <color rgb="FFFF0000"/>
        <rFont val="Calibri"/>
        <family val="2"/>
      </rPr>
      <t>1</t>
    </r>
    <r>
      <rPr>
        <sz val="12"/>
        <color rgb="FFFF0000"/>
        <rFont val="Calibri"/>
        <family val="2"/>
      </rPr>
      <t>, Ψ</t>
    </r>
    <r>
      <rPr>
        <vertAlign val="subscript"/>
        <sz val="12"/>
        <color rgb="FFFF0000"/>
        <rFont val="Calibri"/>
        <family val="2"/>
      </rPr>
      <t>2</t>
    </r>
  </si>
  <si>
    <t>Scala in Acciaio</t>
  </si>
  <si>
    <r>
      <t>pignatta  [kN/m</t>
    </r>
    <r>
      <rPr>
        <vertAlign val="superscript"/>
        <sz val="11"/>
        <color theme="1"/>
        <rFont val="Calibri"/>
        <family val="2"/>
        <scheme val="minor"/>
      </rPr>
      <t>2</t>
    </r>
    <r>
      <rPr>
        <sz val="11"/>
        <color theme="1"/>
        <rFont val="Calibri"/>
        <family val="2"/>
        <scheme val="minor"/>
      </rPr>
      <t>]</t>
    </r>
  </si>
  <si>
    <r>
      <t>travetto [kN/m</t>
    </r>
    <r>
      <rPr>
        <vertAlign val="superscript"/>
        <sz val="11"/>
        <color theme="1"/>
        <rFont val="Calibri"/>
        <family val="2"/>
        <scheme val="minor"/>
      </rPr>
      <t>2</t>
    </r>
    <r>
      <rPr>
        <sz val="11"/>
        <color theme="1"/>
        <rFont val="Calibri"/>
        <family val="2"/>
        <scheme val="minor"/>
      </rPr>
      <t>]</t>
    </r>
  </si>
  <si>
    <r>
      <t>soletta [kN/m</t>
    </r>
    <r>
      <rPr>
        <vertAlign val="superscript"/>
        <sz val="11"/>
        <color theme="1"/>
        <rFont val="Calibri"/>
        <family val="2"/>
        <scheme val="minor"/>
      </rPr>
      <t>2</t>
    </r>
    <r>
      <rPr>
        <sz val="11"/>
        <color theme="1"/>
        <rFont val="Calibri"/>
        <family val="2"/>
        <scheme val="minor"/>
      </rPr>
      <t>]</t>
    </r>
  </si>
  <si>
    <r>
      <t>massetto [kN/m</t>
    </r>
    <r>
      <rPr>
        <vertAlign val="superscript"/>
        <sz val="11"/>
        <color theme="1"/>
        <rFont val="Calibri"/>
        <family val="2"/>
        <scheme val="minor"/>
      </rPr>
      <t>2</t>
    </r>
    <r>
      <rPr>
        <sz val="11"/>
        <color theme="1"/>
        <rFont val="Calibri"/>
        <family val="2"/>
        <scheme val="minor"/>
      </rPr>
      <t>]</t>
    </r>
  </si>
  <si>
    <r>
      <t>pavimento [kN/m</t>
    </r>
    <r>
      <rPr>
        <vertAlign val="superscript"/>
        <sz val="11"/>
        <color theme="1"/>
        <rFont val="Calibri"/>
        <family val="2"/>
        <scheme val="minor"/>
      </rPr>
      <t>2</t>
    </r>
    <r>
      <rPr>
        <sz val="11"/>
        <color theme="1"/>
        <rFont val="Calibri"/>
        <family val="2"/>
        <scheme val="minor"/>
      </rPr>
      <t>]</t>
    </r>
  </si>
  <si>
    <r>
      <t>intonaco [kN/m</t>
    </r>
    <r>
      <rPr>
        <vertAlign val="superscript"/>
        <sz val="11"/>
        <color theme="1"/>
        <rFont val="Calibri"/>
        <family val="2"/>
        <scheme val="minor"/>
      </rPr>
      <t>2</t>
    </r>
    <r>
      <rPr>
        <sz val="11"/>
        <color theme="1"/>
        <rFont val="Calibri"/>
        <family val="2"/>
        <scheme val="minor"/>
      </rPr>
      <t>]</t>
    </r>
  </si>
  <si>
    <r>
      <t>peso proprio solaio [kN/m</t>
    </r>
    <r>
      <rPr>
        <vertAlign val="superscript"/>
        <sz val="11"/>
        <color theme="1"/>
        <rFont val="Calibri"/>
        <family val="2"/>
        <scheme val="minor"/>
      </rPr>
      <t>2</t>
    </r>
    <r>
      <rPr>
        <sz val="11"/>
        <color theme="1"/>
        <rFont val="Calibri"/>
        <family val="2"/>
        <scheme val="minor"/>
      </rPr>
      <t>]</t>
    </r>
  </si>
  <si>
    <t>ag [g]</t>
  </si>
  <si>
    <t>Fo</t>
  </si>
  <si>
    <t>Tc* [s]</t>
  </si>
  <si>
    <t>g [m/s2]</t>
  </si>
  <si>
    <t>C1</t>
  </si>
  <si>
    <t>[kN]</t>
  </si>
  <si>
    <t>[m]</t>
  </si>
  <si>
    <t>[kNm]</t>
  </si>
  <si>
    <t>Piano</t>
  </si>
  <si>
    <t xml:space="preserve">Wi </t>
  </si>
  <si>
    <t>hi</t>
  </si>
  <si>
    <t>Wi hi</t>
  </si>
  <si>
    <t xml:space="preserve"> </t>
  </si>
  <si>
    <t>F6</t>
  </si>
  <si>
    <t>F5</t>
  </si>
  <si>
    <t>F4</t>
  </si>
  <si>
    <t>Sd</t>
  </si>
  <si>
    <t>F3</t>
  </si>
  <si>
    <t>λ</t>
  </si>
  <si>
    <t>F2</t>
  </si>
  <si>
    <t>Fh [kN]</t>
  </si>
  <si>
    <t>F1</t>
  </si>
  <si>
    <t>qo=3*αu/α1</t>
  </si>
  <si>
    <t>ΣWi hi</t>
  </si>
  <si>
    <t>ΣFh</t>
  </si>
  <si>
    <t>tipologie</t>
  </si>
  <si>
    <t xml:space="preserve">Strutture Regolari </t>
  </si>
  <si>
    <t xml:space="preserve">Strutture non Regolari </t>
  </si>
  <si>
    <t>Valori di q0, secondo le NTC 08</t>
  </si>
  <si>
    <t>Valori di αu/α1, per strutture regolari in pianta, secondo le NTC 08</t>
  </si>
  <si>
    <t>Tipologia</t>
  </si>
  <si>
    <t>CD"A"</t>
  </si>
  <si>
    <t>CD"B"</t>
  </si>
  <si>
    <t>Strutture a telaio o strutture miste equivalenti a telaio ad un solo piano</t>
  </si>
  <si>
    <t>Strutture a telaio , strutture miste telaio-pareti, strutture a pareti accoppiate</t>
  </si>
  <si>
    <t>4,5*αu/α1</t>
  </si>
  <si>
    <t>3*αu/α1</t>
  </si>
  <si>
    <t>a più piani ma ad una sola campata</t>
  </si>
  <si>
    <t>Strutture a pareti non accoppiate</t>
  </si>
  <si>
    <t>4*αu/α2</t>
  </si>
  <si>
    <t>a più piani e più campata</t>
  </si>
  <si>
    <t>Strutture torsionalmente deformabili</t>
  </si>
  <si>
    <t>Strutture a pareti o strutture miste equivalenti a parete solo due pareti</t>
  </si>
  <si>
    <t>Strutture a pendolo inverso</t>
  </si>
  <si>
    <t>non accoppiate per ogni direzione</t>
  </si>
  <si>
    <t>più a pareti non accoppiate</t>
  </si>
  <si>
    <t>pareti accoppiate o strutture miste equivalenti a pareti</t>
  </si>
  <si>
    <r>
      <t>Valori di K</t>
    </r>
    <r>
      <rPr>
        <sz val="8"/>
        <color rgb="FF0070C0"/>
        <rFont val="Calibri"/>
        <family val="2"/>
        <scheme val="minor"/>
      </rPr>
      <t>R</t>
    </r>
    <r>
      <rPr>
        <sz val="11"/>
        <color rgb="FF0070C0"/>
        <rFont val="Calibri"/>
        <family val="2"/>
        <scheme val="minor"/>
      </rPr>
      <t>, secondo le NTC 08</t>
    </r>
  </si>
  <si>
    <r>
      <t>peso proprio balcone [kN/m</t>
    </r>
    <r>
      <rPr>
        <vertAlign val="superscript"/>
        <sz val="11"/>
        <color theme="1"/>
        <rFont val="Calibri"/>
        <family val="2"/>
        <scheme val="minor"/>
      </rPr>
      <t>2</t>
    </r>
    <r>
      <rPr>
        <sz val="11"/>
        <color theme="1"/>
        <rFont val="Calibri"/>
        <family val="2"/>
        <scheme val="minor"/>
      </rPr>
      <t>]</t>
    </r>
  </si>
  <si>
    <t>gk</t>
  </si>
  <si>
    <t>g'k</t>
  </si>
  <si>
    <t>qk</t>
  </si>
  <si>
    <t>gk+Ψkqk</t>
  </si>
  <si>
    <t>gd+qd</t>
  </si>
  <si>
    <t>scala</t>
  </si>
  <si>
    <t>tamponatura</t>
  </si>
  <si>
    <t>Altezza totale della costruzione H[m]</t>
  </si>
  <si>
    <t>Solaio di copertura</t>
  </si>
  <si>
    <t>Massa [tonn]</t>
  </si>
  <si>
    <t>copertura</t>
  </si>
  <si>
    <t>Totale</t>
  </si>
  <si>
    <r>
      <t>Area [m</t>
    </r>
    <r>
      <rPr>
        <vertAlign val="superscript"/>
        <sz val="11"/>
        <color theme="1"/>
        <rFont val="Calibri"/>
        <family val="2"/>
        <scheme val="minor"/>
      </rPr>
      <t>2</t>
    </r>
    <r>
      <rPr>
        <sz val="11"/>
        <color theme="1"/>
        <rFont val="Calibri"/>
        <family val="2"/>
        <scheme val="minor"/>
      </rPr>
      <t>]</t>
    </r>
  </si>
  <si>
    <t>Peso [kN]</t>
  </si>
  <si>
    <t>Periodo Fondamentale T1</t>
  </si>
  <si>
    <r>
      <t>Fattore di struttura q=q</t>
    </r>
    <r>
      <rPr>
        <sz val="8"/>
        <color theme="1"/>
        <rFont val="Calibri"/>
        <family val="2"/>
        <scheme val="minor"/>
      </rPr>
      <t>o</t>
    </r>
    <r>
      <rPr>
        <sz val="11"/>
        <color theme="1"/>
        <rFont val="Calibri"/>
        <family val="2"/>
        <scheme val="minor"/>
      </rPr>
      <t>*K</t>
    </r>
    <r>
      <rPr>
        <sz val="8"/>
        <color theme="1"/>
        <rFont val="Calibri"/>
        <family val="2"/>
        <scheme val="minor"/>
      </rPr>
      <t>R</t>
    </r>
  </si>
  <si>
    <r>
      <t>cls con argilla espanza [kN/m</t>
    </r>
    <r>
      <rPr>
        <vertAlign val="superscript"/>
        <sz val="11"/>
        <color theme="1"/>
        <rFont val="Calibri"/>
        <family val="2"/>
        <scheme val="minor"/>
      </rPr>
      <t>3</t>
    </r>
    <r>
      <rPr>
        <sz val="11"/>
        <color theme="1"/>
        <rFont val="Calibri"/>
        <family val="2"/>
        <scheme val="minor"/>
      </rPr>
      <t>]</t>
    </r>
  </si>
  <si>
    <t>Pilastro 7</t>
  </si>
  <si>
    <t>elementi strutturali</t>
  </si>
  <si>
    <t>Solaio tipo</t>
  </si>
  <si>
    <t>Balconi</t>
  </si>
  <si>
    <t>P.P. (Trave)</t>
  </si>
  <si>
    <t>Campata 1-2</t>
  </si>
  <si>
    <t>Campata 5-6</t>
  </si>
  <si>
    <t>Campata 14-15</t>
  </si>
  <si>
    <t>Campata 2-3</t>
  </si>
  <si>
    <t>Campata 15-16</t>
  </si>
  <si>
    <t>Campata 3-4</t>
  </si>
  <si>
    <t>Campata 7-8</t>
  </si>
  <si>
    <t>Campata 16-17</t>
  </si>
  <si>
    <t>Campata 11-17</t>
  </si>
  <si>
    <t>Campata 12-18</t>
  </si>
  <si>
    <t>Campata 8-9</t>
  </si>
  <si>
    <t>Campata 11-12</t>
  </si>
  <si>
    <t>Campata 17-18</t>
  </si>
  <si>
    <t>Campata 9-10</t>
  </si>
  <si>
    <t>r'</t>
  </si>
  <si>
    <t>Pilastro 1</t>
  </si>
  <si>
    <t>Pilastro 2</t>
  </si>
  <si>
    <t>Pilastro 3</t>
  </si>
  <si>
    <t>Pilastro 4</t>
  </si>
  <si>
    <t>Pilastro 5</t>
  </si>
  <si>
    <t>Sviluppo</t>
  </si>
  <si>
    <r>
      <t>g</t>
    </r>
    <r>
      <rPr>
        <vertAlign val="subscript"/>
        <sz val="11"/>
        <color theme="1"/>
        <rFont val="Calibri"/>
        <family val="2"/>
        <scheme val="minor"/>
      </rPr>
      <t>d</t>
    </r>
    <r>
      <rPr>
        <sz val="11"/>
        <color theme="1"/>
        <rFont val="Calibri"/>
        <family val="2"/>
        <scheme val="minor"/>
      </rPr>
      <t>+q</t>
    </r>
    <r>
      <rPr>
        <vertAlign val="subscript"/>
        <sz val="11"/>
        <color theme="1"/>
        <rFont val="Calibri"/>
        <family val="2"/>
        <scheme val="minor"/>
      </rPr>
      <t>d</t>
    </r>
  </si>
  <si>
    <t xml:space="preserve">Solaio </t>
  </si>
  <si>
    <t xml:space="preserve">Balconi </t>
  </si>
  <si>
    <t>Trave p.p.</t>
  </si>
  <si>
    <t xml:space="preserve">Scala </t>
  </si>
  <si>
    <t>Tamponature</t>
  </si>
  <si>
    <t>p.p (Pilastro)</t>
  </si>
  <si>
    <t>Pilastro 6</t>
  </si>
  <si>
    <t>Pilastro 8</t>
  </si>
  <si>
    <t>Pilastro 9</t>
  </si>
  <si>
    <t>Pilastro 10</t>
  </si>
  <si>
    <t>Pilastro 11</t>
  </si>
  <si>
    <t>Pilastro 12</t>
  </si>
  <si>
    <t>Pilastro 13</t>
  </si>
  <si>
    <t>Pilastro 14</t>
  </si>
  <si>
    <t>Pilastro 15</t>
  </si>
  <si>
    <t>Pilastro 16</t>
  </si>
  <si>
    <t>Pilastro 17</t>
  </si>
  <si>
    <t>Pilastro 18</t>
  </si>
  <si>
    <t>gk+Ψqk</t>
  </si>
  <si>
    <t>Lacalità</t>
  </si>
  <si>
    <t xml:space="preserve">Suolo </t>
  </si>
  <si>
    <t xml:space="preserve">Categoria Topografica </t>
  </si>
  <si>
    <t>T1</t>
  </si>
  <si>
    <t>Stato Limite</t>
  </si>
  <si>
    <t>Tr [anni]</t>
  </si>
  <si>
    <t>Operatività (SLO)</t>
  </si>
  <si>
    <t>Ordinata spettrale</t>
  </si>
  <si>
    <t>Danno (SLD)</t>
  </si>
  <si>
    <t>SLD</t>
  </si>
  <si>
    <t>Salvaguardia vita (SLV)</t>
  </si>
  <si>
    <t>Prevenzione collasso (SLC)</t>
  </si>
  <si>
    <t>Rapporto</t>
  </si>
  <si>
    <t xml:space="preserve">Maugeri </t>
  </si>
  <si>
    <t>Fi</t>
  </si>
  <si>
    <t>Vi</t>
  </si>
  <si>
    <t>Mpil</t>
  </si>
  <si>
    <t>Mtra</t>
  </si>
  <si>
    <t>Vtra</t>
  </si>
  <si>
    <t>Mpil (incre)</t>
  </si>
  <si>
    <t xml:space="preserve"> A'S = Armatura compressa</t>
  </si>
  <si>
    <t xml:space="preserve"> AS = Armatura tesa </t>
  </si>
  <si>
    <t>H di interpiano [m]</t>
  </si>
  <si>
    <t>H del primo piano [m]</t>
  </si>
  <si>
    <r>
      <t>T1</t>
    </r>
    <r>
      <rPr>
        <sz val="11"/>
        <color rgb="FFFF0000"/>
        <rFont val="Calibri"/>
        <family val="2"/>
      </rPr>
      <t>&lt;</t>
    </r>
    <r>
      <rPr>
        <sz val="11"/>
        <color rgb="FFFF0000"/>
        <rFont val="Calibri"/>
        <family val="2"/>
        <scheme val="minor"/>
      </rPr>
      <t xml:space="preserve">2Tc </t>
    </r>
  </si>
  <si>
    <t xml:space="preserve">  </t>
  </si>
  <si>
    <t>SLV, CD C</t>
  </si>
  <si>
    <t>1 testa</t>
  </si>
  <si>
    <t>piede</t>
  </si>
  <si>
    <r>
      <rPr>
        <sz val="11"/>
        <color theme="1"/>
        <rFont val="Calibri"/>
        <family val="2"/>
      </rPr>
      <t>Δ</t>
    </r>
    <r>
      <rPr>
        <sz val="11"/>
        <color theme="1"/>
        <rFont val="Calibri"/>
        <family val="2"/>
        <scheme val="minor"/>
      </rPr>
      <t>Npil</t>
    </r>
  </si>
  <si>
    <t>rampa  [kN/m2]</t>
  </si>
  <si>
    <t>gradini [kN/m2]</t>
  </si>
  <si>
    <t>massetto [kN/m2]</t>
  </si>
  <si>
    <t>pavimento (granito) [kN/m2]</t>
  </si>
  <si>
    <t>peso proprio scala [kN/m2]</t>
  </si>
  <si>
    <t>spessore massetto balcone scala[m]</t>
  </si>
  <si>
    <t>N° pilastri direzione x</t>
  </si>
  <si>
    <t>N° pilastri direzione y</t>
  </si>
  <si>
    <t xml:space="preserve">Vpil </t>
  </si>
  <si>
    <t>Caratteristiche della sollecitazione incremente del 20% per eccentricità</t>
  </si>
  <si>
    <t>p.p (Trave)</t>
  </si>
  <si>
    <r>
      <t>g</t>
    </r>
    <r>
      <rPr>
        <vertAlign val="subscript"/>
        <sz val="11"/>
        <color theme="1"/>
        <rFont val="Calibri"/>
        <family val="2"/>
        <scheme val="minor"/>
      </rPr>
      <t>k</t>
    </r>
    <r>
      <rPr>
        <sz val="11"/>
        <color theme="1"/>
        <rFont val="Calibri"/>
        <family val="2"/>
        <scheme val="minor"/>
      </rPr>
      <t>+Ψ</t>
    </r>
    <r>
      <rPr>
        <sz val="8"/>
        <color theme="1"/>
        <rFont val="Calibri"/>
        <family val="2"/>
        <scheme val="minor"/>
      </rPr>
      <t>2</t>
    </r>
    <r>
      <rPr>
        <sz val="11"/>
        <color theme="1"/>
        <rFont val="Calibri"/>
        <family val="2"/>
        <scheme val="minor"/>
      </rPr>
      <t>q</t>
    </r>
    <r>
      <rPr>
        <vertAlign val="subscript"/>
        <sz val="11"/>
        <color theme="1"/>
        <rFont val="Calibri"/>
        <family val="2"/>
        <scheme val="minor"/>
      </rPr>
      <t>k</t>
    </r>
  </si>
  <si>
    <t>Campata 13-14</t>
  </si>
  <si>
    <t>Campata 10-11</t>
  </si>
  <si>
    <t>Campata 4-5</t>
  </si>
  <si>
    <t>Campata 1-7</t>
  </si>
  <si>
    <t>Campata 7-13</t>
  </si>
  <si>
    <t>Campata 2-8</t>
  </si>
  <si>
    <t>Campata 8-14</t>
  </si>
  <si>
    <t>Campata 3-9</t>
  </si>
  <si>
    <t>Campata 9-15</t>
  </si>
  <si>
    <t>Campata 4-10</t>
  </si>
  <si>
    <t>Campata 10-16</t>
  </si>
  <si>
    <t>Campata 5-11</t>
  </si>
  <si>
    <t>Campata 6-12</t>
  </si>
  <si>
    <t>CAMPATE DIREZIONE X</t>
  </si>
  <si>
    <t>Trave emergente</t>
  </si>
  <si>
    <t>Momento per carichi verticali da sisma M [kNm]</t>
  </si>
  <si>
    <t>Momento per azione sismica M [kNm]</t>
  </si>
  <si>
    <t>Momento massimo totale M [kNm]</t>
  </si>
  <si>
    <t xml:space="preserve">Sezione rettangolare </t>
  </si>
  <si>
    <t>Dati:</t>
  </si>
  <si>
    <t>base [cm]</t>
  </si>
  <si>
    <t>altezza [cm]</t>
  </si>
  <si>
    <t>copriferro [cm]</t>
  </si>
  <si>
    <t>u= A'S/AS</t>
  </si>
  <si>
    <t>Altezza utile [m]</t>
  </si>
  <si>
    <t>Sezione trasversale della trave emergente</t>
  </si>
  <si>
    <t>Ncvmax</t>
  </si>
  <si>
    <t>Ncvmin</t>
  </si>
  <si>
    <t>Nmax</t>
  </si>
  <si>
    <t>Nmin</t>
  </si>
  <si>
    <t>1,5*ΔNpil</t>
  </si>
  <si>
    <t>Momento massimo [kNm]</t>
  </si>
  <si>
    <t>Momento minimo [kNm]</t>
  </si>
  <si>
    <t>Sforzo Normale massimo [kN]</t>
  </si>
  <si>
    <t>Sforzo Normale minimo [kN]</t>
  </si>
  <si>
    <t xml:space="preserve">Combinazioni </t>
  </si>
  <si>
    <r>
      <t xml:space="preserve">N </t>
    </r>
    <r>
      <rPr>
        <vertAlign val="subscript"/>
        <sz val="11"/>
        <color theme="1"/>
        <rFont val="Calibri"/>
        <family val="2"/>
        <scheme val="minor"/>
      </rPr>
      <t>max</t>
    </r>
  </si>
  <si>
    <r>
      <t>M</t>
    </r>
    <r>
      <rPr>
        <vertAlign val="subscript"/>
        <sz val="11"/>
        <color theme="1"/>
        <rFont val="Calibri"/>
        <family val="2"/>
        <scheme val="minor"/>
      </rPr>
      <t>max</t>
    </r>
    <r>
      <rPr>
        <sz val="11"/>
        <color theme="1"/>
        <rFont val="Calibri"/>
        <family val="2"/>
        <scheme val="minor"/>
      </rPr>
      <t>[kNm]</t>
    </r>
  </si>
  <si>
    <r>
      <t xml:space="preserve">N </t>
    </r>
    <r>
      <rPr>
        <vertAlign val="subscript"/>
        <sz val="11"/>
        <color theme="1"/>
        <rFont val="Calibri"/>
        <family val="2"/>
        <scheme val="minor"/>
      </rPr>
      <t>min</t>
    </r>
    <r>
      <rPr>
        <sz val="11"/>
        <color theme="1"/>
        <rFont val="Calibri"/>
        <family val="2"/>
        <scheme val="minor"/>
      </rPr>
      <t>[kN]</t>
    </r>
  </si>
  <si>
    <r>
      <t>M</t>
    </r>
    <r>
      <rPr>
        <vertAlign val="subscript"/>
        <sz val="11"/>
        <color theme="1"/>
        <rFont val="Calibri"/>
        <family val="2"/>
        <scheme val="minor"/>
      </rPr>
      <t>min</t>
    </r>
    <r>
      <rPr>
        <sz val="11"/>
        <color theme="1"/>
        <rFont val="Calibri"/>
        <family val="2"/>
        <scheme val="minor"/>
      </rPr>
      <t>[kNm]</t>
    </r>
  </si>
  <si>
    <r>
      <t xml:space="preserve">Considerando 6 </t>
    </r>
    <r>
      <rPr>
        <sz val="14"/>
        <color rgb="FFFF0000"/>
        <rFont val="Calibri"/>
        <family val="2"/>
      </rPr>
      <t>Φ20</t>
    </r>
  </si>
  <si>
    <t>gd</t>
  </si>
  <si>
    <t>qd</t>
  </si>
  <si>
    <t>trave (30x70)</t>
  </si>
  <si>
    <t xml:space="preserve">Solaio di Copertura </t>
  </si>
  <si>
    <r>
      <t>impermeabilizzazione [kN/m</t>
    </r>
    <r>
      <rPr>
        <vertAlign val="superscript"/>
        <sz val="11"/>
        <color theme="1"/>
        <rFont val="Calibri"/>
        <family val="2"/>
        <scheme val="minor"/>
      </rPr>
      <t>2</t>
    </r>
    <r>
      <rPr>
        <sz val="11"/>
        <color theme="1"/>
        <rFont val="Calibri"/>
        <family val="2"/>
        <scheme val="minor"/>
      </rPr>
      <t>]</t>
    </r>
  </si>
  <si>
    <t>peso proprio solaio [kN/m2]</t>
  </si>
  <si>
    <r>
      <t xml:space="preserve">Categoria F, Remesse e parcheggi (veicoli </t>
    </r>
    <r>
      <rPr>
        <sz val="9"/>
        <color rgb="FFFF0000"/>
        <rFont val="Calibri"/>
        <family val="2"/>
      </rPr>
      <t>≤</t>
    </r>
    <r>
      <rPr>
        <sz val="9"/>
        <color rgb="FFFF0000"/>
        <rFont val="Calibri"/>
        <family val="2"/>
        <scheme val="minor"/>
      </rPr>
      <t>30kN)</t>
    </r>
  </si>
  <si>
    <r>
      <t xml:space="preserve">Neve (a quota </t>
    </r>
    <r>
      <rPr>
        <sz val="9"/>
        <color rgb="FFFF0000"/>
        <rFont val="Calibri"/>
        <family val="2"/>
      </rPr>
      <t>≤1000m s.l.m.</t>
    </r>
    <r>
      <rPr>
        <sz val="9"/>
        <color rgb="FFFF0000"/>
        <rFont val="Calibri"/>
        <family val="2"/>
        <scheme val="minor"/>
      </rPr>
      <t>)</t>
    </r>
  </si>
  <si>
    <r>
      <t>Neve (a quota &gt;</t>
    </r>
    <r>
      <rPr>
        <sz val="9"/>
        <color rgb="FFFF0000"/>
        <rFont val="Calibri"/>
        <family val="2"/>
      </rPr>
      <t>1000m s.l.m.</t>
    </r>
    <r>
      <rPr>
        <sz val="9"/>
        <color rgb="FFFF0000"/>
        <rFont val="Calibri"/>
        <family val="2"/>
        <scheme val="minor"/>
      </rPr>
      <t>)</t>
    </r>
  </si>
  <si>
    <r>
      <t>pavimento (granito) [kN/m</t>
    </r>
    <r>
      <rPr>
        <vertAlign val="superscript"/>
        <sz val="11"/>
        <rFont val="Calibri"/>
        <family val="2"/>
        <scheme val="minor"/>
      </rPr>
      <t>2</t>
    </r>
    <r>
      <rPr>
        <sz val="11"/>
        <rFont val="Calibri"/>
        <family val="2"/>
        <scheme val="minor"/>
      </rPr>
      <t>]</t>
    </r>
  </si>
  <si>
    <r>
      <t>peso proprio scala [kN/m</t>
    </r>
    <r>
      <rPr>
        <vertAlign val="superscript"/>
        <sz val="11"/>
        <rFont val="Calibri"/>
        <family val="2"/>
        <scheme val="minor"/>
      </rPr>
      <t>2</t>
    </r>
    <r>
      <rPr>
        <sz val="11"/>
        <rFont val="Calibri"/>
        <family val="2"/>
        <scheme val="minor"/>
      </rPr>
      <t>]</t>
    </r>
  </si>
  <si>
    <t>trave (30x60)</t>
  </si>
  <si>
    <t>trave (30x22)</t>
  </si>
  <si>
    <t>Pilastri (30x70)</t>
  </si>
  <si>
    <t>CAMPATE DIREZIONE Y</t>
  </si>
  <si>
    <t>Quantità</t>
  </si>
  <si>
    <t>W[t]</t>
  </si>
  <si>
    <r>
      <t>Area totale impalcato tipo [m</t>
    </r>
    <r>
      <rPr>
        <vertAlign val="superscript"/>
        <sz val="11"/>
        <rFont val="Calibri"/>
        <family val="2"/>
        <scheme val="minor"/>
      </rPr>
      <t>2</t>
    </r>
    <r>
      <rPr>
        <sz val="11"/>
        <rFont val="Calibri"/>
        <family val="2"/>
        <scheme val="minor"/>
      </rPr>
      <t xml:space="preserve">] </t>
    </r>
  </si>
  <si>
    <t>Valori dei coefficienti Ψ0 ,Ψ1, Ψ2</t>
  </si>
  <si>
    <t xml:space="preserve"> Solaio del 1° 2° 3° piano</t>
  </si>
  <si>
    <r>
      <t>Area del vano scala [m</t>
    </r>
    <r>
      <rPr>
        <vertAlign val="superscript"/>
        <sz val="11"/>
        <rFont val="Calibri"/>
        <family val="2"/>
        <scheme val="minor"/>
      </rPr>
      <t>2</t>
    </r>
    <r>
      <rPr>
        <sz val="11"/>
        <rFont val="Calibri"/>
        <family val="2"/>
        <scheme val="minor"/>
      </rPr>
      <t>]</t>
    </r>
  </si>
  <si>
    <t>Categoria</t>
  </si>
  <si>
    <t>A [m2]</t>
  </si>
  <si>
    <t>mi [t]</t>
  </si>
  <si>
    <t>wi [kN/m2]</t>
  </si>
  <si>
    <t>Fx(Mx)</t>
  </si>
  <si>
    <t>Fy(My)</t>
  </si>
  <si>
    <t>balconi</t>
  </si>
  <si>
    <r>
      <t>Area del ascensore [m</t>
    </r>
    <r>
      <rPr>
        <vertAlign val="superscript"/>
        <sz val="11"/>
        <rFont val="Calibri"/>
        <family val="2"/>
        <scheme val="minor"/>
      </rPr>
      <t>2</t>
    </r>
    <r>
      <rPr>
        <sz val="11"/>
        <rFont val="Calibri"/>
        <family val="2"/>
        <scheme val="minor"/>
      </rPr>
      <t>]</t>
    </r>
  </si>
  <si>
    <t>Solaio di Copertura</t>
  </si>
  <si>
    <r>
      <t>Area balconi [m</t>
    </r>
    <r>
      <rPr>
        <vertAlign val="superscript"/>
        <sz val="11"/>
        <rFont val="Calibri"/>
        <family val="2"/>
        <scheme val="minor"/>
      </rPr>
      <t>2</t>
    </r>
    <r>
      <rPr>
        <sz val="11"/>
        <rFont val="Calibri"/>
        <family val="2"/>
        <scheme val="minor"/>
      </rPr>
      <t xml:space="preserve">] </t>
    </r>
  </si>
  <si>
    <t>Copertura Lignea</t>
  </si>
  <si>
    <r>
      <t>Area del solaio [m</t>
    </r>
    <r>
      <rPr>
        <vertAlign val="superscript"/>
        <sz val="11"/>
        <rFont val="Calibri"/>
        <family val="2"/>
        <scheme val="minor"/>
      </rPr>
      <t>2</t>
    </r>
    <r>
      <rPr>
        <sz val="11"/>
        <rFont val="Calibri"/>
        <family val="2"/>
        <scheme val="minor"/>
      </rPr>
      <t>]</t>
    </r>
  </si>
  <si>
    <t>Solaio del 1° 2° 3° piano</t>
  </si>
  <si>
    <t>trave (30x70)[cm]</t>
  </si>
  <si>
    <r>
      <t>Area del solaio di copertura [m</t>
    </r>
    <r>
      <rPr>
        <vertAlign val="superscript"/>
        <sz val="11"/>
        <rFont val="Calibri"/>
        <family val="2"/>
        <scheme val="minor"/>
      </rPr>
      <t>2</t>
    </r>
    <r>
      <rPr>
        <sz val="11"/>
        <rFont val="Calibri"/>
        <family val="2"/>
        <scheme val="minor"/>
      </rPr>
      <t>]</t>
    </r>
  </si>
  <si>
    <t>Solaio del 4° 5° piano</t>
  </si>
  <si>
    <t>trave (30x22)[cm]</t>
  </si>
  <si>
    <t xml:space="preserve">Tamponature [m] </t>
  </si>
  <si>
    <t>pilastri (30x70)[cm]</t>
  </si>
  <si>
    <t>Categoria F, Remesse e parcheggi (veicoli ≤30kN)</t>
  </si>
  <si>
    <t>mi [t] totale</t>
  </si>
  <si>
    <t>eax[m]</t>
  </si>
  <si>
    <t>eay[m]</t>
  </si>
  <si>
    <t>Neve (a quota ≤1000m s.l.m.)</t>
  </si>
  <si>
    <t>Impalcato tipo</t>
  </si>
  <si>
    <t>Neve (a quota &gt;1000m s.l.m.)</t>
  </si>
  <si>
    <t>Taglio totale al piede della cotruzione Fh [kN]</t>
  </si>
  <si>
    <r>
      <t>Ix [m</t>
    </r>
    <r>
      <rPr>
        <vertAlign val="superscript"/>
        <sz val="11"/>
        <rFont val="Calibri"/>
        <family val="2"/>
        <scheme val="minor"/>
      </rPr>
      <t>4</t>
    </r>
    <r>
      <rPr>
        <sz val="11"/>
        <rFont val="Calibri"/>
        <family val="2"/>
        <scheme val="minor"/>
      </rPr>
      <t>]</t>
    </r>
  </si>
  <si>
    <t xml:space="preserve"> Solaio del 4° 5° piano</t>
  </si>
  <si>
    <r>
      <t>Iy  [m</t>
    </r>
    <r>
      <rPr>
        <vertAlign val="superscript"/>
        <sz val="11"/>
        <rFont val="Calibri"/>
        <family val="2"/>
        <scheme val="minor"/>
      </rPr>
      <t>4</t>
    </r>
    <r>
      <rPr>
        <sz val="11"/>
        <rFont val="Calibri"/>
        <family val="2"/>
        <scheme val="minor"/>
      </rPr>
      <t>]</t>
    </r>
  </si>
  <si>
    <t xml:space="preserve">Raggio d'inerzia polare </t>
  </si>
  <si>
    <t>Periodo Fondamentale T1 [s]</t>
  </si>
  <si>
    <r>
      <t>Area [m</t>
    </r>
    <r>
      <rPr>
        <vertAlign val="superscript"/>
        <sz val="11"/>
        <rFont val="Calibri"/>
        <family val="2"/>
        <scheme val="minor"/>
      </rPr>
      <t>2</t>
    </r>
    <r>
      <rPr>
        <sz val="11"/>
        <rFont val="Calibri"/>
        <family val="2"/>
        <scheme val="minor"/>
      </rPr>
      <t>]</t>
    </r>
  </si>
  <si>
    <t>ρ[m]</t>
  </si>
  <si>
    <t xml:space="preserve">Impalcato di copertura </t>
  </si>
  <si>
    <t xml:space="preserve">                                                                                              </t>
  </si>
  <si>
    <t>trave (30x60)[cm]</t>
  </si>
  <si>
    <t>Strutture a telaio, strutture miste telaio-pareti, strutture a pareti accoppiate</t>
  </si>
  <si>
    <t xml:space="preserve">Fattore di struttura </t>
  </si>
  <si>
    <t>Valori di KR, secondo le NTC 08</t>
  </si>
  <si>
    <t>Solaiodel 4° 5° piano</t>
  </si>
  <si>
    <t>q=qo*KR</t>
  </si>
  <si>
    <t>Tipologie</t>
  </si>
  <si>
    <t xml:space="preserve"> ----------------   REGIONI   ----------------</t>
  </si>
  <si>
    <r>
      <t>T1</t>
    </r>
    <r>
      <rPr>
        <sz val="11"/>
        <color rgb="FFFF0000"/>
        <rFont val="Calibri"/>
        <family val="2"/>
      </rPr>
      <t>&lt;</t>
    </r>
    <r>
      <rPr>
        <sz val="11"/>
        <color rgb="FFFF0000"/>
        <rFont val="Calibri"/>
        <family val="2"/>
        <scheme val="minor"/>
      </rPr>
      <t>2Tc</t>
    </r>
  </si>
  <si>
    <t>Area:                    332.1000</t>
  </si>
  <si>
    <t>Area:                    286.7884</t>
  </si>
  <si>
    <t>Perimetro:               76.2000</t>
  </si>
  <si>
    <t>Perimetro:               83.0049</t>
  </si>
  <si>
    <t xml:space="preserve"> Solaio di copertura</t>
  </si>
  <si>
    <t>Casella di delimitazione:         X: 0.0000  --  24.6000</t>
  </si>
  <si>
    <t>Casella di delimitazione:         X: 0.0000  --  24.0000</t>
  </si>
  <si>
    <t xml:space="preserve">                          Y: 0.0000  --  13.5000</t>
  </si>
  <si>
    <t xml:space="preserve">                          Y: -1.5000  --  12.0000</t>
  </si>
  <si>
    <t>Baricentro:             X: 12.3000</t>
  </si>
  <si>
    <t>Baricentro:             X: 12.0000</t>
  </si>
  <si>
    <t xml:space="preserve">                          Y: 6.7500</t>
  </si>
  <si>
    <t xml:space="preserve">                          Y: 5.1703</t>
  </si>
  <si>
    <t>trave (30x75)[cm]</t>
  </si>
  <si>
    <t>Momenti di inerzia:   X: 20175.0750</t>
  </si>
  <si>
    <t>Momenti di inerzia:   X: 11224.4916</t>
  </si>
  <si>
    <t>trave (30x40)[cm]</t>
  </si>
  <si>
    <t xml:space="preserve">                          Y: 66991.2120</t>
  </si>
  <si>
    <t xml:space="preserve">                          Y: 54007.5486</t>
  </si>
  <si>
    <t>pilastri (30x60)[cm]</t>
  </si>
  <si>
    <t>Prodotti di inerzia:  XY: 27572.6025</t>
  </si>
  <si>
    <t>Prodotti di inerzia:  XY: 17793.3658</t>
  </si>
  <si>
    <t>pilastri (30x30)[cm]</t>
  </si>
  <si>
    <t>Raggi di girazione:    X: 7.7942</t>
  </si>
  <si>
    <t>Raggi di girazione:    X: 6.2561</t>
  </si>
  <si>
    <t xml:space="preserve">                          Y: 14.2028</t>
  </si>
  <si>
    <t xml:space="preserve">                          Y: 13.7229</t>
  </si>
  <si>
    <t>Momenti principali e direzione X-Y rispetto al baricentro:</t>
  </si>
  <si>
    <r>
      <t xml:space="preserve">Peso </t>
    </r>
    <r>
      <rPr>
        <sz val="8"/>
        <color theme="1"/>
        <rFont val="Calibri"/>
        <family val="2"/>
        <scheme val="minor"/>
      </rPr>
      <t>[kN/m</t>
    </r>
    <r>
      <rPr>
        <vertAlign val="superscript"/>
        <sz val="8"/>
        <color theme="1"/>
        <rFont val="Calibri"/>
        <family val="2"/>
        <scheme val="minor"/>
      </rPr>
      <t>2</t>
    </r>
    <r>
      <rPr>
        <sz val="8"/>
        <color theme="1"/>
        <rFont val="Calibri"/>
        <family val="2"/>
        <scheme val="minor"/>
      </rPr>
      <t>]</t>
    </r>
  </si>
  <si>
    <t xml:space="preserve">                      I: 5043.7688 lungo [1.0000 0.0000]</t>
  </si>
  <si>
    <t xml:space="preserve">                      I: 3558.1670 lungo [1.0000 0.0000]</t>
  </si>
  <si>
    <t>trave (16x24)[cm]</t>
  </si>
  <si>
    <t xml:space="preserve">Totale Copertura </t>
  </si>
  <si>
    <t xml:space="preserve">                      J: 16747.8030 lungo [0.0000 1.0000]</t>
  </si>
  <si>
    <t xml:space="preserve">                      J: 12709.8016 lungo [0.0000 1.0000]</t>
  </si>
  <si>
    <t>travetti in legno (8x8) [cm]</t>
  </si>
  <si>
    <t>tavolato spessore di 2 cm</t>
  </si>
  <si>
    <t>Composto in fibre di legno</t>
  </si>
  <si>
    <t xml:space="preserve">ondulina </t>
  </si>
  <si>
    <t>coppi</t>
  </si>
  <si>
    <r>
      <t xml:space="preserve"> [kN/m</t>
    </r>
    <r>
      <rPr>
        <vertAlign val="superscript"/>
        <sz val="11"/>
        <color theme="1"/>
        <rFont val="Calibri"/>
        <family val="2"/>
        <scheme val="minor"/>
      </rPr>
      <t>3</t>
    </r>
    <r>
      <rPr>
        <sz val="11"/>
        <color theme="1"/>
        <rFont val="Calibri"/>
        <family val="2"/>
        <scheme val="minor"/>
      </rPr>
      <t>]</t>
    </r>
  </si>
  <si>
    <r>
      <t>[kN/m</t>
    </r>
    <r>
      <rPr>
        <vertAlign val="superscript"/>
        <sz val="11"/>
        <color theme="1"/>
        <rFont val="Calibri"/>
        <family val="2"/>
        <scheme val="minor"/>
      </rPr>
      <t>2</t>
    </r>
    <r>
      <rPr>
        <sz val="11"/>
        <color theme="1"/>
        <rFont val="Calibri"/>
        <family val="2"/>
        <scheme val="minor"/>
      </rPr>
      <t>]</t>
    </r>
  </si>
  <si>
    <t>legname (Abete)</t>
  </si>
  <si>
    <r>
      <t>[kN/m</t>
    </r>
    <r>
      <rPr>
        <vertAlign val="superscript"/>
        <sz val="11"/>
        <color theme="1"/>
        <rFont val="Calibri"/>
        <family val="2"/>
        <scheme val="minor"/>
      </rPr>
      <t>3</t>
    </r>
    <r>
      <rPr>
        <sz val="11"/>
        <color theme="1"/>
        <rFont val="Calibri"/>
        <family val="2"/>
        <scheme val="minor"/>
      </rPr>
      <t>]</t>
    </r>
  </si>
  <si>
    <t xml:space="preserve"> Solaio del 4° piano</t>
  </si>
  <si>
    <t>Solaio del 4° piano</t>
  </si>
  <si>
    <t>Impalcato 1° 2° 3°  [kN/m2]</t>
  </si>
  <si>
    <t>Impalcato 4° 5°  [kN/m2]</t>
  </si>
  <si>
    <t>Impalcato 6° (Tetto) [kN/m2]</t>
  </si>
  <si>
    <t>Impalcato 1° 2° 3°</t>
  </si>
  <si>
    <t xml:space="preserve">impalcato 4° 5° </t>
  </si>
  <si>
    <t xml:space="preserve">Altezza della tamponatura </t>
  </si>
  <si>
    <t>h</t>
  </si>
  <si>
    <t>Altezza della Trave emergente</t>
  </si>
  <si>
    <t xml:space="preserve">Altezza della Trave a spessore  </t>
  </si>
  <si>
    <t>h [m]</t>
  </si>
  <si>
    <t>Direzine x gd+qd</t>
  </si>
  <si>
    <t>Travi</t>
  </si>
  <si>
    <t>Campate</t>
  </si>
  <si>
    <t>1_2</t>
  </si>
  <si>
    <t>2_3</t>
  </si>
  <si>
    <t>3_4</t>
  </si>
  <si>
    <t>4_5</t>
  </si>
  <si>
    <t>5_6</t>
  </si>
  <si>
    <t>7_8</t>
  </si>
  <si>
    <t>8_9</t>
  </si>
  <si>
    <t>9_10</t>
  </si>
  <si>
    <t>10_11</t>
  </si>
  <si>
    <t>11_12</t>
  </si>
  <si>
    <t>13_14</t>
  </si>
  <si>
    <t>14_15</t>
  </si>
  <si>
    <t>15_16</t>
  </si>
  <si>
    <t>16_17</t>
  </si>
  <si>
    <t>17_18</t>
  </si>
  <si>
    <t>Direzine x gk+Ψ2qk</t>
  </si>
  <si>
    <t>gk+Ψ2qk</t>
  </si>
  <si>
    <t>→ x</t>
  </si>
  <si>
    <t>y</t>
  </si>
  <si>
    <t>Direzione y gd+qd</t>
  </si>
  <si>
    <t>Direzione y gk+Ψ2qk</t>
  </si>
  <si>
    <t>↑</t>
  </si>
  <si>
    <t xml:space="preserve">Campate </t>
  </si>
  <si>
    <t>1_7</t>
  </si>
  <si>
    <t>7_13</t>
  </si>
  <si>
    <t>2_8</t>
  </si>
  <si>
    <t>8_14</t>
  </si>
  <si>
    <t>3_9</t>
  </si>
  <si>
    <t>9_15</t>
  </si>
  <si>
    <t>4_10</t>
  </si>
  <si>
    <t>10_16</t>
  </si>
  <si>
    <t>5_11</t>
  </si>
  <si>
    <t>11_17</t>
  </si>
  <si>
    <t>6_12</t>
  </si>
  <si>
    <t>12_18</t>
  </si>
  <si>
    <t>Base  [m]</t>
  </si>
  <si>
    <t>d [m]</t>
  </si>
  <si>
    <t>altezza [m]</t>
  </si>
  <si>
    <t>Altezza Utile della sezione</t>
  </si>
  <si>
    <t>b [m]</t>
  </si>
  <si>
    <r>
      <t>h</t>
    </r>
    <r>
      <rPr>
        <vertAlign val="subscript"/>
        <sz val="11"/>
        <color theme="1"/>
        <rFont val="Calibri"/>
        <family val="2"/>
        <scheme val="minor"/>
      </rPr>
      <t>solaio</t>
    </r>
    <r>
      <rPr>
        <sz val="11"/>
        <color theme="1"/>
        <rFont val="Calibri"/>
        <family val="2"/>
        <scheme val="minor"/>
      </rPr>
      <t xml:space="preserve"> [m]</t>
    </r>
  </si>
  <si>
    <t>c [m]</t>
  </si>
  <si>
    <t>Base</t>
  </si>
  <si>
    <t>Altezza Solaio</t>
  </si>
  <si>
    <t>Copriferro</t>
  </si>
  <si>
    <t>M  [kNm]</t>
  </si>
  <si>
    <r>
      <t>Momento flettente(g</t>
    </r>
    <r>
      <rPr>
        <sz val="6"/>
        <color rgb="FFFF0000"/>
        <rFont val="Calibri"/>
        <family val="2"/>
        <scheme val="minor"/>
      </rPr>
      <t>d</t>
    </r>
    <r>
      <rPr>
        <sz val="11"/>
        <color rgb="FFFF0000"/>
        <rFont val="Calibri"/>
        <family val="2"/>
        <scheme val="minor"/>
      </rPr>
      <t>+q</t>
    </r>
    <r>
      <rPr>
        <sz val="6"/>
        <color rgb="FFFF0000"/>
        <rFont val="Calibri"/>
        <family val="2"/>
        <scheme val="minor"/>
      </rPr>
      <t>d</t>
    </r>
    <r>
      <rPr>
        <sz val="11"/>
        <color rgb="FFFF0000"/>
        <rFont val="Calibri"/>
        <family val="2"/>
        <scheme val="minor"/>
      </rPr>
      <t>)</t>
    </r>
  </si>
  <si>
    <t>Dimensinamento Trave a spessore per carrichi verticali</t>
  </si>
  <si>
    <t xml:space="preserve">Calcolo della sezione trasversale della trave emergente dal quarto impalcato in poi fino al sesto </t>
  </si>
  <si>
    <t xml:space="preserve">Calcolo della sezione trasversale della trave emergente dal primo impalcato  fino al terzo </t>
  </si>
  <si>
    <t>Dimensinamento Trave emergente</t>
  </si>
  <si>
    <t>Sezione trasversale della trave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</si>
</sst>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
    <numFmt numFmtId="167" formatCode="#,##0.0"/>
  </numFmts>
  <fonts count="35" x14ac:knownFonts="1">
    <font>
      <sz val="11"/>
      <color theme="1"/>
      <name val="Calibri"/>
      <family val="2"/>
      <scheme val="minor"/>
    </font>
    <font>
      <vertAlign val="superscript"/>
      <sz val="11"/>
      <color theme="1"/>
      <name val="Calibri"/>
      <family val="2"/>
      <scheme val="minor"/>
    </font>
    <font>
      <sz val="9"/>
      <color indexed="81"/>
      <name val="Tahoma"/>
      <family val="2"/>
    </font>
    <font>
      <b/>
      <sz val="9"/>
      <color indexed="81"/>
      <name val="Tahoma"/>
      <family val="2"/>
    </font>
    <font>
      <vertAlign val="superscript"/>
      <sz val="9"/>
      <color indexed="81"/>
      <name val="Tahoma"/>
      <family val="2"/>
    </font>
    <font>
      <sz val="11"/>
      <color rgb="FFFF0000"/>
      <name val="Calibri"/>
      <family val="2"/>
      <scheme val="minor"/>
    </font>
    <font>
      <sz val="11"/>
      <color theme="1"/>
      <name val="Calibri"/>
      <family val="2"/>
    </font>
    <font>
      <sz val="11"/>
      <color rgb="FFFF0000"/>
      <name val="Calibri"/>
      <family val="2"/>
    </font>
    <font>
      <sz val="12"/>
      <color rgb="FFFF0000"/>
      <name val="Calibri"/>
      <family val="2"/>
      <scheme val="minor"/>
    </font>
    <font>
      <sz val="12"/>
      <color rgb="FFFF0000"/>
      <name val="Calibri"/>
      <family val="2"/>
    </font>
    <font>
      <vertAlign val="subscript"/>
      <sz val="12"/>
      <color rgb="FFFF0000"/>
      <name val="Calibri"/>
      <family val="2"/>
    </font>
    <font>
      <sz val="11"/>
      <name val="Calibri"/>
      <family val="2"/>
      <scheme val="minor"/>
    </font>
    <font>
      <sz val="11"/>
      <color rgb="FF0070C0"/>
      <name val="Calibri"/>
      <family val="2"/>
      <scheme val="minor"/>
    </font>
    <font>
      <sz val="8"/>
      <color rgb="FF0070C0"/>
      <name val="Calibri"/>
      <family val="2"/>
      <scheme val="minor"/>
    </font>
    <font>
      <sz val="11"/>
      <color theme="0" tint="-0.34998626667073579"/>
      <name val="Calibri"/>
      <family val="2"/>
      <scheme val="minor"/>
    </font>
    <font>
      <sz val="8"/>
      <color theme="1"/>
      <name val="Calibri"/>
      <family val="2"/>
      <scheme val="minor"/>
    </font>
    <font>
      <vertAlign val="subscript"/>
      <sz val="11"/>
      <color theme="1"/>
      <name val="Calibri"/>
      <family val="2"/>
      <scheme val="minor"/>
    </font>
    <font>
      <sz val="14"/>
      <color rgb="FFFF0000"/>
      <name val="Calibri"/>
      <family val="2"/>
      <scheme val="minor"/>
    </font>
    <font>
      <sz val="11"/>
      <color theme="9" tint="-0.499984740745262"/>
      <name val="Calibri"/>
      <family val="2"/>
      <scheme val="minor"/>
    </font>
    <font>
      <sz val="16"/>
      <color rgb="FFFF0000"/>
      <name val="Calibri"/>
      <family val="2"/>
      <scheme val="minor"/>
    </font>
    <font>
      <vertAlign val="superscript"/>
      <sz val="11"/>
      <name val="Calibri"/>
      <family val="2"/>
      <scheme val="minor"/>
    </font>
    <font>
      <sz val="12"/>
      <color theme="1"/>
      <name val="Calibri"/>
      <family val="2"/>
      <scheme val="minor"/>
    </font>
    <font>
      <sz val="12"/>
      <color theme="1"/>
      <name val="Calibri"/>
      <family val="2"/>
    </font>
    <font>
      <sz val="14"/>
      <color theme="1"/>
      <name val="Calibri"/>
      <family val="2"/>
    </font>
    <font>
      <sz val="14"/>
      <color theme="1"/>
      <name val="Calibri"/>
      <family val="2"/>
      <scheme val="minor"/>
    </font>
    <font>
      <sz val="14"/>
      <color rgb="FFFF0000"/>
      <name val="Calibri"/>
      <family val="2"/>
    </font>
    <font>
      <sz val="10"/>
      <color rgb="FFFF0000"/>
      <name val="Calibri"/>
      <family val="2"/>
      <scheme val="minor"/>
    </font>
    <font>
      <sz val="9"/>
      <color rgb="FFFF0000"/>
      <name val="Calibri"/>
      <family val="2"/>
      <scheme val="minor"/>
    </font>
    <font>
      <sz val="9"/>
      <color rgb="FFFF0000"/>
      <name val="Calibri"/>
      <family val="2"/>
    </font>
    <font>
      <sz val="12"/>
      <color theme="4" tint="-0.249977111117893"/>
      <name val="Calibri"/>
      <family val="2"/>
      <scheme val="minor"/>
    </font>
    <font>
      <sz val="11"/>
      <color theme="0" tint="-0.499984740745262"/>
      <name val="Calibri"/>
      <family val="2"/>
      <scheme val="minor"/>
    </font>
    <font>
      <vertAlign val="superscript"/>
      <sz val="8"/>
      <color theme="1"/>
      <name val="Calibri"/>
      <family val="2"/>
      <scheme val="minor"/>
    </font>
    <font>
      <sz val="9"/>
      <color theme="1"/>
      <name val="Calibri"/>
      <family val="2"/>
      <scheme val="minor"/>
    </font>
    <font>
      <sz val="20"/>
      <color rgb="FFFF0000"/>
      <name val="Calibri"/>
      <family val="2"/>
      <scheme val="minor"/>
    </font>
    <font>
      <sz val="6"/>
      <color rgb="FFFF0000"/>
      <name val="Calibri"/>
      <family val="2"/>
      <scheme val="minor"/>
    </font>
  </fonts>
  <fills count="26">
    <fill>
      <patternFill patternType="none"/>
    </fill>
    <fill>
      <patternFill patternType="gray125"/>
    </fill>
    <fill>
      <patternFill patternType="solid">
        <fgColor rgb="FF00B0F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tint="-0.499984740745262"/>
        <bgColor indexed="64"/>
      </patternFill>
    </fill>
    <fill>
      <patternFill patternType="solid">
        <fgColor theme="4" tint="0.39997558519241921"/>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2"/>
        <bgColor indexed="64"/>
      </patternFill>
    </fill>
    <fill>
      <patternFill patternType="solid">
        <fgColor theme="0"/>
        <bgColor indexed="64"/>
      </patternFill>
    </fill>
    <fill>
      <patternFill patternType="solid">
        <fgColor rgb="FFCCECFF"/>
        <bgColor indexed="64"/>
      </patternFill>
    </fill>
    <fill>
      <patternFill patternType="solid">
        <fgColor theme="3" tint="0.79998168889431442"/>
        <bgColor indexed="64"/>
      </patternFill>
    </fill>
    <fill>
      <patternFill patternType="solid">
        <fgColor theme="4"/>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0070C0"/>
        <bgColor indexed="64"/>
      </patternFill>
    </fill>
    <fill>
      <patternFill patternType="solid">
        <fgColor rgb="FF00B050"/>
        <bgColor indexed="64"/>
      </patternFill>
    </fill>
    <fill>
      <patternFill patternType="solid">
        <fgColor rgb="FFFFC000"/>
        <bgColor indexed="64"/>
      </patternFill>
    </fill>
    <fill>
      <patternFill patternType="solid">
        <fgColor theme="5" tint="-0.249977111117893"/>
        <bgColor indexed="64"/>
      </patternFill>
    </fill>
    <fill>
      <patternFill patternType="solid">
        <fgColor theme="6"/>
        <bgColor indexed="64"/>
      </patternFill>
    </fill>
    <fill>
      <patternFill patternType="solid">
        <fgColor rgb="FFC00000"/>
        <bgColor indexed="64"/>
      </patternFill>
    </fill>
    <fill>
      <patternFill patternType="solid">
        <fgColor rgb="FF92D05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style="thin">
        <color auto="1"/>
      </top>
      <bottom style="thick">
        <color auto="1"/>
      </bottom>
      <diagonal/>
    </border>
    <border>
      <left style="thin">
        <color auto="1"/>
      </left>
      <right/>
      <top style="thin">
        <color auto="1"/>
      </top>
      <bottom style="thick">
        <color auto="1"/>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auto="1"/>
      </right>
      <top/>
      <bottom/>
      <diagonal/>
    </border>
    <border>
      <left/>
      <right/>
      <top style="thick">
        <color auto="1"/>
      </top>
      <bottom/>
      <diagonal/>
    </border>
    <border>
      <left/>
      <right style="thick">
        <color auto="1"/>
      </right>
      <top/>
      <bottom/>
      <diagonal/>
    </border>
    <border>
      <left style="thin">
        <color indexed="64"/>
      </left>
      <right style="thin">
        <color indexed="64"/>
      </right>
      <top/>
      <bottom/>
      <diagonal/>
    </border>
  </borders>
  <cellStyleXfs count="1">
    <xf numFmtId="0" fontId="0" fillId="0" borderId="0"/>
  </cellStyleXfs>
  <cellXfs count="377">
    <xf numFmtId="0" fontId="0" fillId="0" borderId="0" xfId="0"/>
    <xf numFmtId="0" fontId="6" fillId="0" borderId="1" xfId="0" applyFont="1" applyBorder="1" applyAlignment="1">
      <alignment horizontal="center" vertical="center"/>
    </xf>
    <xf numFmtId="0" fontId="0" fillId="0" borderId="1" xfId="0" applyBorder="1" applyAlignment="1">
      <alignment vertical="center"/>
    </xf>
    <xf numFmtId="165" fontId="0" fillId="0" borderId="1" xfId="0" applyNumberFormat="1" applyBorder="1" applyAlignment="1">
      <alignment horizontal="center" vertical="center"/>
    </xf>
    <xf numFmtId="165" fontId="5" fillId="0" borderId="1" xfId="0" applyNumberFormat="1" applyFont="1" applyBorder="1" applyAlignment="1">
      <alignment horizontal="center" vertical="center"/>
    </xf>
    <xf numFmtId="2" fontId="0" fillId="0" borderId="1" xfId="0" applyNumberFormat="1" applyBorder="1" applyAlignment="1">
      <alignment horizontal="center" vertical="center"/>
    </xf>
    <xf numFmtId="165" fontId="0" fillId="0" borderId="1" xfId="0" applyNumberFormat="1" applyFont="1" applyBorder="1" applyAlignment="1">
      <alignment horizontal="center" vertical="center"/>
    </xf>
    <xf numFmtId="0" fontId="11" fillId="5" borderId="1" xfId="0" applyFont="1" applyFill="1" applyBorder="1"/>
    <xf numFmtId="1" fontId="0" fillId="0" borderId="1" xfId="0" applyNumberFormat="1" applyBorder="1" applyAlignment="1">
      <alignment horizontal="center" vertical="center"/>
    </xf>
    <xf numFmtId="165" fontId="0" fillId="0" borderId="1" xfId="0" applyNumberFormat="1" applyBorder="1" applyAlignment="1">
      <alignment horizontal="center"/>
    </xf>
    <xf numFmtId="1" fontId="0" fillId="0" borderId="1" xfId="0" applyNumberFormat="1" applyBorder="1" applyAlignment="1">
      <alignment horizontal="center"/>
    </xf>
    <xf numFmtId="2" fontId="5" fillId="3" borderId="1" xfId="0" applyNumberFormat="1" applyFont="1" applyFill="1" applyBorder="1" applyAlignment="1">
      <alignment horizontal="center" vertical="center"/>
    </xf>
    <xf numFmtId="0" fontId="0" fillId="0" borderId="0" xfId="0" applyBorder="1" applyAlignment="1">
      <alignment vertical="center"/>
    </xf>
    <xf numFmtId="164" fontId="5" fillId="0" borderId="1" xfId="0" applyNumberFormat="1" applyFont="1" applyBorder="1" applyAlignment="1">
      <alignment horizontal="center" vertical="center"/>
    </xf>
    <xf numFmtId="0" fontId="11" fillId="10" borderId="1" xfId="0" applyFont="1" applyFill="1" applyBorder="1"/>
    <xf numFmtId="164" fontId="0" fillId="8" borderId="1" xfId="0" applyNumberFormat="1" applyFill="1" applyBorder="1" applyAlignment="1">
      <alignment horizontal="center" vertical="center"/>
    </xf>
    <xf numFmtId="0" fontId="0" fillId="8" borderId="1" xfId="0" applyFill="1" applyBorder="1" applyAlignment="1">
      <alignment horizontal="center" vertical="center"/>
    </xf>
    <xf numFmtId="2" fontId="0" fillId="8" borderId="1" xfId="0" applyNumberFormat="1" applyFill="1" applyBorder="1" applyAlignment="1">
      <alignment horizontal="center" vertical="center"/>
    </xf>
    <xf numFmtId="165" fontId="0" fillId="8" borderId="1" xfId="0" applyNumberFormat="1" applyFill="1" applyBorder="1" applyAlignment="1">
      <alignment horizontal="center" vertical="center"/>
    </xf>
    <xf numFmtId="0" fontId="0" fillId="6" borderId="1" xfId="0" applyFill="1" applyBorder="1" applyAlignment="1">
      <alignment vertical="center"/>
    </xf>
    <xf numFmtId="1" fontId="0" fillId="10" borderId="1" xfId="0" applyNumberFormat="1" applyFill="1" applyBorder="1" applyAlignment="1">
      <alignment horizontal="center" vertical="center"/>
    </xf>
    <xf numFmtId="0" fontId="0" fillId="9" borderId="1" xfId="0" applyFill="1" applyBorder="1" applyAlignment="1">
      <alignment horizontal="center" vertical="center"/>
    </xf>
    <xf numFmtId="0" fontId="0" fillId="0" borderId="1" xfId="0" applyFont="1" applyBorder="1" applyAlignment="1">
      <alignment horizontal="center" vertical="center"/>
    </xf>
    <xf numFmtId="0" fontId="0" fillId="0" borderId="0" xfId="0" applyAlignment="1"/>
    <xf numFmtId="0" fontId="0" fillId="0" borderId="1" xfId="0" applyBorder="1"/>
    <xf numFmtId="2" fontId="0" fillId="0" borderId="0" xfId="0" applyNumberFormat="1"/>
    <xf numFmtId="0" fontId="0" fillId="0" borderId="5" xfId="0" applyBorder="1"/>
    <xf numFmtId="0" fontId="11" fillId="3" borderId="1" xfId="0" applyFont="1" applyFill="1" applyBorder="1" applyAlignment="1">
      <alignment horizontal="center" vertical="center"/>
    </xf>
    <xf numFmtId="0" fontId="0" fillId="3" borderId="1" xfId="0" applyFill="1" applyBorder="1" applyAlignment="1">
      <alignment vertical="center"/>
    </xf>
    <xf numFmtId="0" fontId="18" fillId="4" borderId="1" xfId="0" applyFont="1" applyFill="1" applyBorder="1" applyAlignment="1">
      <alignment vertical="center"/>
    </xf>
    <xf numFmtId="165" fontId="0" fillId="0" borderId="1" xfId="0" applyNumberFormat="1" applyBorder="1"/>
    <xf numFmtId="166" fontId="5" fillId="8" borderId="1" xfId="0" applyNumberFormat="1" applyFont="1" applyFill="1" applyBorder="1" applyAlignment="1">
      <alignment horizontal="center" vertical="center"/>
    </xf>
    <xf numFmtId="165" fontId="0" fillId="0" borderId="0" xfId="0" applyNumberFormat="1"/>
    <xf numFmtId="0" fontId="7" fillId="3" borderId="1" xfId="0" applyFont="1" applyFill="1" applyBorder="1" applyAlignment="1">
      <alignment horizontal="center" vertical="center"/>
    </xf>
    <xf numFmtId="164" fontId="0" fillId="0" borderId="0" xfId="0" applyNumberFormat="1" applyAlignment="1">
      <alignment horizontal="center" vertical="center"/>
    </xf>
    <xf numFmtId="164" fontId="0" fillId="0" borderId="1" xfId="0" applyNumberFormat="1" applyBorder="1" applyAlignment="1">
      <alignment horizontal="center" vertical="center"/>
    </xf>
    <xf numFmtId="0" fontId="5" fillId="0" borderId="1" xfId="0" applyFont="1" applyBorder="1" applyAlignment="1">
      <alignment horizontal="center"/>
    </xf>
    <xf numFmtId="0" fontId="0" fillId="6" borderId="1" xfId="0" applyFill="1" applyBorder="1" applyAlignment="1">
      <alignment horizontal="center" vertical="center"/>
    </xf>
    <xf numFmtId="0" fontId="0" fillId="3" borderId="1" xfId="0" applyFill="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xf>
    <xf numFmtId="0" fontId="0" fillId="4" borderId="1" xfId="0" applyFill="1" applyBorder="1" applyAlignment="1">
      <alignment horizontal="center" vertical="center"/>
    </xf>
    <xf numFmtId="0" fontId="5" fillId="0" borderId="1" xfId="0" applyFont="1" applyBorder="1" applyAlignment="1">
      <alignment horizontal="center" vertical="center"/>
    </xf>
    <xf numFmtId="0" fontId="0" fillId="3" borderId="2" xfId="0" applyFill="1" applyBorder="1" applyAlignment="1">
      <alignment vertical="center"/>
    </xf>
    <xf numFmtId="0" fontId="0" fillId="3" borderId="3" xfId="0" applyFill="1" applyBorder="1" applyAlignment="1">
      <alignment vertical="center"/>
    </xf>
    <xf numFmtId="0" fontId="0" fillId="0" borderId="2" xfId="0" applyBorder="1" applyAlignment="1">
      <alignment vertical="center" wrapText="1"/>
    </xf>
    <xf numFmtId="0" fontId="0" fillId="0" borderId="3" xfId="0" applyBorder="1" applyAlignment="1">
      <alignment vertical="center" wrapText="1"/>
    </xf>
    <xf numFmtId="0" fontId="22" fillId="0" borderId="0" xfId="0" applyFont="1" applyBorder="1" applyAlignment="1">
      <alignment horizontal="center" vertical="center"/>
    </xf>
    <xf numFmtId="0" fontId="22" fillId="0" borderId="0" xfId="0" applyFont="1" applyBorder="1" applyAlignment="1">
      <alignment vertical="center"/>
    </xf>
    <xf numFmtId="0" fontId="23" fillId="0" borderId="0" xfId="0" applyFont="1" applyBorder="1" applyAlignment="1">
      <alignment vertical="center"/>
    </xf>
    <xf numFmtId="1" fontId="0" fillId="8" borderId="1" xfId="0" applyNumberFormat="1" applyFill="1" applyBorder="1" applyAlignment="1">
      <alignment horizontal="center" vertical="center"/>
    </xf>
    <xf numFmtId="0" fontId="24" fillId="0" borderId="0" xfId="0" applyFont="1" applyAlignment="1">
      <alignment vertical="center"/>
    </xf>
    <xf numFmtId="165" fontId="26" fillId="0" borderId="1" xfId="0" applyNumberFormat="1" applyFont="1" applyBorder="1" applyAlignment="1">
      <alignment horizontal="center" vertical="center"/>
    </xf>
    <xf numFmtId="0" fontId="26" fillId="0" borderId="1" xfId="0" applyFont="1" applyBorder="1" applyAlignment="1">
      <alignment horizontal="center" vertical="center"/>
    </xf>
    <xf numFmtId="0" fontId="0" fillId="6" borderId="1" xfId="0" applyFill="1" applyBorder="1" applyAlignment="1">
      <alignment horizontal="center" vertical="center"/>
    </xf>
    <xf numFmtId="0" fontId="0" fillId="3" borderId="1" xfId="0" applyFill="1" applyBorder="1" applyAlignment="1">
      <alignment horizontal="center" vertical="center"/>
    </xf>
    <xf numFmtId="0" fontId="11" fillId="3" borderId="1" xfId="0" applyFont="1" applyFill="1" applyBorder="1" applyAlignment="1">
      <alignment horizontal="left" vertical="center"/>
    </xf>
    <xf numFmtId="0" fontId="0" fillId="0" borderId="2"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0" xfId="0" applyAlignment="1">
      <alignment horizontal="center" vertical="center"/>
    </xf>
    <xf numFmtId="0" fontId="5" fillId="0" borderId="1" xfId="0" applyFont="1" applyBorder="1" applyAlignment="1">
      <alignment horizontal="center" vertical="center"/>
    </xf>
    <xf numFmtId="2" fontId="0" fillId="2" borderId="2" xfId="0" applyNumberFormat="1" applyFill="1" applyBorder="1" applyAlignment="1">
      <alignment horizontal="center" vertical="center"/>
    </xf>
    <xf numFmtId="0" fontId="0" fillId="2" borderId="1" xfId="0" applyFill="1" applyBorder="1" applyAlignment="1">
      <alignment vertical="center"/>
    </xf>
    <xf numFmtId="0" fontId="11" fillId="0" borderId="1" xfId="0" applyFont="1" applyBorder="1" applyAlignment="1">
      <alignment horizontal="left" vertical="center"/>
    </xf>
    <xf numFmtId="0" fontId="11" fillId="0" borderId="1" xfId="0" applyFont="1" applyBorder="1" applyAlignment="1">
      <alignment horizontal="center" vertical="center"/>
    </xf>
    <xf numFmtId="0" fontId="11" fillId="2" borderId="1" xfId="0" applyFont="1" applyFill="1" applyBorder="1" applyAlignment="1">
      <alignment horizontal="left" vertical="center"/>
    </xf>
    <xf numFmtId="2" fontId="11" fillId="2" borderId="1" xfId="0" applyNumberFormat="1" applyFont="1" applyFill="1" applyBorder="1" applyAlignment="1">
      <alignment horizontal="center" vertical="center"/>
    </xf>
    <xf numFmtId="2" fontId="14" fillId="0" borderId="1" xfId="0" applyNumberFormat="1" applyFont="1" applyBorder="1" applyAlignment="1">
      <alignment horizontal="center" vertical="center"/>
    </xf>
    <xf numFmtId="0" fontId="0" fillId="0" borderId="0" xfId="0" applyAlignment="1">
      <alignment vertical="center"/>
    </xf>
    <xf numFmtId="0" fontId="0" fillId="3" borderId="1" xfId="0" applyFill="1" applyBorder="1" applyAlignment="1">
      <alignment horizontal="center" vertical="center"/>
    </xf>
    <xf numFmtId="0" fontId="0" fillId="6" borderId="1" xfId="0" applyFill="1" applyBorder="1" applyAlignment="1">
      <alignment horizontal="center" vertical="center"/>
    </xf>
    <xf numFmtId="0" fontId="0" fillId="6" borderId="2" xfId="0" applyFill="1" applyBorder="1" applyAlignment="1">
      <alignment horizontal="center" vertical="center"/>
    </xf>
    <xf numFmtId="0" fontId="5" fillId="6" borderId="1" xfId="0" applyFont="1" applyFill="1" applyBorder="1" applyAlignment="1">
      <alignment horizontal="center" vertical="center"/>
    </xf>
    <xf numFmtId="0" fontId="0" fillId="0" borderId="5" xfId="0" applyBorder="1" applyAlignment="1">
      <alignment vertical="center"/>
    </xf>
    <xf numFmtId="2" fontId="0" fillId="12" borderId="1" xfId="0" applyNumberFormat="1" applyFill="1" applyBorder="1" applyAlignment="1">
      <alignment horizontal="center" vertical="center"/>
    </xf>
    <xf numFmtId="2" fontId="30" fillId="0" borderId="1" xfId="0" applyNumberFormat="1" applyFont="1" applyBorder="1" applyAlignment="1">
      <alignment horizontal="center" vertical="center"/>
    </xf>
    <xf numFmtId="0" fontId="11" fillId="6" borderId="2" xfId="0" applyFont="1" applyFill="1" applyBorder="1" applyAlignment="1">
      <alignment horizontal="center" vertical="center"/>
    </xf>
    <xf numFmtId="0" fontId="11" fillId="6" borderId="4" xfId="0" applyFont="1" applyFill="1" applyBorder="1" applyAlignment="1">
      <alignment horizontal="center" vertical="center"/>
    </xf>
    <xf numFmtId="0" fontId="11" fillId="6" borderId="3"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1" xfId="0" applyFont="1" applyFill="1" applyBorder="1" applyAlignment="1">
      <alignment vertical="center"/>
    </xf>
    <xf numFmtId="167" fontId="0" fillId="0" borderId="1" xfId="0" applyNumberFormat="1" applyBorder="1" applyAlignment="1">
      <alignment horizontal="center" vertical="center"/>
    </xf>
    <xf numFmtId="0" fontId="0" fillId="13" borderId="2" xfId="0" applyFill="1" applyBorder="1" applyAlignment="1">
      <alignment horizontal="left" vertical="center"/>
    </xf>
    <xf numFmtId="0" fontId="0" fillId="13" borderId="4" xfId="0" applyFill="1" applyBorder="1" applyAlignment="1">
      <alignment horizontal="left" vertical="center"/>
    </xf>
    <xf numFmtId="0" fontId="0" fillId="13" borderId="3" xfId="0" applyFill="1" applyBorder="1" applyAlignment="1">
      <alignment horizontal="left" vertical="center"/>
    </xf>
    <xf numFmtId="1" fontId="5" fillId="3" borderId="1" xfId="0" applyNumberFormat="1" applyFont="1" applyFill="1" applyBorder="1" applyAlignment="1">
      <alignment horizontal="center" vertical="center"/>
    </xf>
    <xf numFmtId="165" fontId="5" fillId="3" borderId="1" xfId="0" applyNumberFormat="1" applyFont="1" applyFill="1" applyBorder="1" applyAlignment="1">
      <alignment horizontal="center" vertical="center"/>
    </xf>
    <xf numFmtId="165" fontId="0" fillId="0" borderId="0" xfId="0" applyNumberFormat="1" applyBorder="1" applyAlignment="1">
      <alignment horizontal="center" vertical="center"/>
    </xf>
    <xf numFmtId="1" fontId="12" fillId="0" borderId="1" xfId="0" applyNumberFormat="1" applyFont="1" applyBorder="1" applyAlignment="1">
      <alignment horizontal="center" vertical="center"/>
    </xf>
    <xf numFmtId="0" fontId="0" fillId="0" borderId="13" xfId="0" applyBorder="1"/>
    <xf numFmtId="0" fontId="0" fillId="0" borderId="0" xfId="0" applyBorder="1"/>
    <xf numFmtId="0" fontId="0" fillId="0" borderId="16" xfId="0" applyBorder="1"/>
    <xf numFmtId="2" fontId="0" fillId="3" borderId="1" xfId="0" applyNumberFormat="1" applyFill="1" applyBorder="1" applyAlignment="1">
      <alignment horizontal="center" vertical="center"/>
    </xf>
    <xf numFmtId="1" fontId="12" fillId="0" borderId="0" xfId="0" applyNumberFormat="1" applyFont="1" applyBorder="1" applyAlignment="1">
      <alignment horizontal="center" vertical="center"/>
    </xf>
    <xf numFmtId="1" fontId="0" fillId="3" borderId="1" xfId="0" applyNumberFormat="1" applyFill="1" applyBorder="1" applyAlignment="1">
      <alignment horizontal="center" vertical="center"/>
    </xf>
    <xf numFmtId="164" fontId="0" fillId="4" borderId="1" xfId="0" applyNumberFormat="1" applyFont="1" applyFill="1" applyBorder="1" applyAlignment="1">
      <alignment horizontal="center" vertical="center"/>
    </xf>
    <xf numFmtId="166" fontId="0" fillId="0" borderId="1" xfId="0" applyNumberFormat="1" applyBorder="1" applyAlignment="1">
      <alignment horizontal="center" vertical="center"/>
    </xf>
    <xf numFmtId="0" fontId="0" fillId="4" borderId="1" xfId="0" applyFont="1" applyFill="1" applyBorder="1" applyAlignment="1">
      <alignment horizontal="center" vertical="center"/>
    </xf>
    <xf numFmtId="164" fontId="0" fillId="4" borderId="1" xfId="0" applyNumberFormat="1" applyFill="1" applyBorder="1" applyAlignment="1">
      <alignment horizontal="center" vertical="center"/>
    </xf>
    <xf numFmtId="0" fontId="5" fillId="0" borderId="14" xfId="0" applyFont="1" applyBorder="1" applyAlignment="1">
      <alignment vertical="center"/>
    </xf>
    <xf numFmtId="0" fontId="0" fillId="4" borderId="1" xfId="0" applyFont="1" applyFill="1" applyBorder="1" applyAlignment="1">
      <alignment horizontal="center"/>
    </xf>
    <xf numFmtId="165" fontId="5" fillId="0" borderId="1" xfId="0" applyNumberFormat="1" applyFont="1" applyBorder="1" applyAlignment="1">
      <alignment horizontal="right" vertical="center"/>
    </xf>
    <xf numFmtId="0" fontId="5" fillId="0" borderId="1" xfId="0" applyFont="1" applyBorder="1" applyAlignment="1">
      <alignment horizontal="right" vertical="center"/>
    </xf>
    <xf numFmtId="0" fontId="5" fillId="0" borderId="0" xfId="0" applyFont="1"/>
    <xf numFmtId="0" fontId="5" fillId="4" borderId="1" xfId="0" applyFont="1" applyFill="1" applyBorder="1" applyAlignment="1">
      <alignment horizontal="center" vertical="center"/>
    </xf>
    <xf numFmtId="0" fontId="7" fillId="4" borderId="1" xfId="0" applyFont="1" applyFill="1" applyBorder="1" applyAlignment="1">
      <alignment horizontal="center" vertical="center"/>
    </xf>
    <xf numFmtId="2" fontId="5" fillId="4" borderId="1" xfId="0" applyNumberFormat="1" applyFont="1" applyFill="1" applyBorder="1" applyAlignment="1">
      <alignment horizontal="center" vertical="center"/>
    </xf>
    <xf numFmtId="0" fontId="5" fillId="0" borderId="0" xfId="0" applyFont="1" applyAlignment="1">
      <alignment vertical="center"/>
    </xf>
    <xf numFmtId="0" fontId="0" fillId="0" borderId="5" xfId="0" applyBorder="1" applyAlignment="1">
      <alignment horizontal="center"/>
    </xf>
    <xf numFmtId="0" fontId="0" fillId="0" borderId="6" xfId="0" applyBorder="1" applyAlignment="1">
      <alignment horizontal="center"/>
    </xf>
    <xf numFmtId="0" fontId="30" fillId="3" borderId="1" xfId="0" applyFont="1" applyFill="1" applyBorder="1" applyAlignment="1">
      <alignment horizontal="center" vertical="center"/>
    </xf>
    <xf numFmtId="0" fontId="0" fillId="0" borderId="1" xfId="0" applyBorder="1" applyAlignment="1">
      <alignment horizontal="right" vertical="center"/>
    </xf>
    <xf numFmtId="165" fontId="5" fillId="0" borderId="14" xfId="0" applyNumberFormat="1" applyFont="1" applyBorder="1" applyAlignment="1">
      <alignment horizontal="center" vertical="center"/>
    </xf>
    <xf numFmtId="165" fontId="5" fillId="0" borderId="15" xfId="0" applyNumberFormat="1" applyFont="1" applyBorder="1" applyAlignment="1">
      <alignment horizontal="center" vertical="center"/>
    </xf>
    <xf numFmtId="0" fontId="0" fillId="0" borderId="0" xfId="0" applyAlignment="1">
      <alignment horizontal="center"/>
    </xf>
    <xf numFmtId="165" fontId="5" fillId="0" borderId="0" xfId="0" applyNumberFormat="1" applyFont="1" applyBorder="1" applyAlignment="1">
      <alignment horizontal="center" vertical="center"/>
    </xf>
    <xf numFmtId="2" fontId="0" fillId="0" borderId="1" xfId="0" applyNumberFormat="1" applyBorder="1" applyAlignment="1">
      <alignment horizontal="right" vertical="center"/>
    </xf>
    <xf numFmtId="0" fontId="0" fillId="0" borderId="9" xfId="0" applyBorder="1" applyAlignment="1">
      <alignment horizontal="center" vertical="center"/>
    </xf>
    <xf numFmtId="0" fontId="0" fillId="3" borderId="1" xfId="0" applyFill="1" applyBorder="1" applyAlignment="1">
      <alignment horizontal="left" vertical="center"/>
    </xf>
    <xf numFmtId="0" fontId="0" fillId="3" borderId="2" xfId="0" applyFill="1" applyBorder="1" applyAlignment="1">
      <alignment horizontal="left" vertical="center"/>
    </xf>
    <xf numFmtId="0" fontId="0" fillId="3" borderId="3" xfId="0" applyFill="1" applyBorder="1" applyAlignment="1">
      <alignment horizontal="left"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6" borderId="1" xfId="0" applyFill="1" applyBorder="1" applyAlignment="1">
      <alignment horizontal="center" vertical="center"/>
    </xf>
    <xf numFmtId="0" fontId="0" fillId="6" borderId="2" xfId="0" applyFill="1" applyBorder="1" applyAlignment="1">
      <alignment horizontal="left" vertical="center"/>
    </xf>
    <xf numFmtId="0" fontId="0" fillId="6" borderId="4" xfId="0" applyFill="1" applyBorder="1" applyAlignment="1">
      <alignment horizontal="left" vertical="center"/>
    </xf>
    <xf numFmtId="0" fontId="0" fillId="0" borderId="7"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0" xfId="0" applyBorder="1" applyAlignment="1">
      <alignment horizontal="center" vertical="center"/>
    </xf>
    <xf numFmtId="0" fontId="0" fillId="6" borderId="3" xfId="0" applyFill="1" applyBorder="1" applyAlignment="1">
      <alignment horizontal="left" vertical="center"/>
    </xf>
    <xf numFmtId="0" fontId="0" fillId="3" borderId="1" xfId="0" applyFill="1" applyBorder="1" applyAlignment="1">
      <alignment horizontal="center" vertical="center"/>
    </xf>
    <xf numFmtId="0" fontId="5" fillId="0" borderId="1" xfId="0" applyFont="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5" fillId="0" borderId="1" xfId="0" applyFont="1" applyBorder="1" applyAlignment="1">
      <alignment horizontal="center" vertical="center"/>
    </xf>
    <xf numFmtId="0" fontId="27" fillId="0" borderId="1" xfId="0" applyFont="1" applyBorder="1" applyAlignment="1">
      <alignment horizontal="center" vertical="center"/>
    </xf>
    <xf numFmtId="0" fontId="0" fillId="17" borderId="1" xfId="0" applyFill="1" applyBorder="1" applyAlignment="1">
      <alignment horizontal="center" vertical="center"/>
    </xf>
    <xf numFmtId="0" fontId="5" fillId="18" borderId="1" xfId="0" applyFont="1" applyFill="1" applyBorder="1" applyAlignment="1">
      <alignment horizontal="center"/>
    </xf>
    <xf numFmtId="0" fontId="11" fillId="17" borderId="1" xfId="0" applyFont="1" applyFill="1" applyBorder="1" applyAlignment="1">
      <alignment horizontal="center"/>
    </xf>
    <xf numFmtId="2" fontId="5" fillId="0" borderId="1" xfId="0" applyNumberFormat="1" applyFont="1" applyBorder="1" applyAlignment="1">
      <alignment horizontal="center"/>
    </xf>
    <xf numFmtId="0" fontId="0" fillId="19" borderId="1" xfId="0" applyFill="1" applyBorder="1" applyAlignment="1">
      <alignment horizontal="center"/>
    </xf>
    <xf numFmtId="2" fontId="0" fillId="0" borderId="0" xfId="0" applyNumberFormat="1" applyAlignment="1">
      <alignment horizontal="center" vertical="center"/>
    </xf>
    <xf numFmtId="0" fontId="0" fillId="20" borderId="1" xfId="0" applyFill="1" applyBorder="1" applyAlignment="1">
      <alignment horizontal="center"/>
    </xf>
    <xf numFmtId="0" fontId="0" fillId="0" borderId="10" xfId="0" applyBorder="1"/>
    <xf numFmtId="0" fontId="22" fillId="0" borderId="17" xfId="0" applyFont="1" applyBorder="1" applyAlignment="1">
      <alignment horizontal="center" vertical="center"/>
    </xf>
    <xf numFmtId="0" fontId="22" fillId="0" borderId="18" xfId="0" applyFont="1" applyBorder="1" applyAlignment="1">
      <alignment horizontal="center" vertical="center"/>
    </xf>
    <xf numFmtId="0" fontId="0" fillId="3" borderId="1" xfId="0" applyFill="1" applyBorder="1"/>
    <xf numFmtId="0" fontId="0" fillId="21" borderId="1" xfId="0" applyFill="1" applyBorder="1" applyAlignment="1">
      <alignment horizontal="center"/>
    </xf>
    <xf numFmtId="0" fontId="0" fillId="0" borderId="1" xfId="0" applyBorder="1" applyAlignment="1">
      <alignment horizontal="center"/>
    </xf>
    <xf numFmtId="0" fontId="0" fillId="22" borderId="1" xfId="0" applyFill="1" applyBorder="1" applyAlignment="1">
      <alignment horizontal="center" vertical="center"/>
    </xf>
    <xf numFmtId="0" fontId="0" fillId="2" borderId="1" xfId="0" applyFill="1" applyBorder="1" applyAlignment="1">
      <alignment horizontal="center" vertical="center"/>
    </xf>
    <xf numFmtId="0" fontId="0" fillId="23" borderId="1" xfId="0" applyFill="1" applyBorder="1" applyAlignment="1">
      <alignment horizontal="center" vertical="center"/>
    </xf>
    <xf numFmtId="0" fontId="0" fillId="24" borderId="1" xfId="0" applyFill="1" applyBorder="1" applyAlignment="1">
      <alignment horizontal="center" vertical="center"/>
    </xf>
    <xf numFmtId="0" fontId="0" fillId="0" borderId="0" xfId="0" applyBorder="1" applyAlignment="1">
      <alignment horizontal="center"/>
    </xf>
    <xf numFmtId="2" fontId="0" fillId="0" borderId="0" xfId="0" applyNumberFormat="1" applyAlignment="1">
      <alignment horizontal="center"/>
    </xf>
    <xf numFmtId="164" fontId="5" fillId="10" borderId="1" xfId="0" applyNumberFormat="1" applyFont="1" applyFill="1" applyBorder="1" applyAlignment="1">
      <alignment horizontal="center" vertical="center"/>
    </xf>
    <xf numFmtId="2" fontId="0" fillId="2" borderId="16" xfId="0" applyNumberFormat="1" applyFill="1" applyBorder="1" applyAlignment="1">
      <alignment vertical="center"/>
    </xf>
    <xf numFmtId="0" fontId="0" fillId="0" borderId="1" xfId="0" applyBorder="1" applyAlignment="1">
      <alignment horizontal="center" vertical="center"/>
    </xf>
    <xf numFmtId="0" fontId="0" fillId="2" borderId="16" xfId="0" applyFill="1" applyBorder="1" applyAlignment="1">
      <alignment vertical="center"/>
    </xf>
    <xf numFmtId="2" fontId="11" fillId="0" borderId="1" xfId="0" applyNumberFormat="1" applyFont="1" applyBorder="1" applyAlignment="1">
      <alignment horizontal="center" vertical="center"/>
    </xf>
    <xf numFmtId="2" fontId="0" fillId="0" borderId="19" xfId="0" applyNumberFormat="1" applyBorder="1" applyAlignment="1">
      <alignment vertical="center"/>
    </xf>
    <xf numFmtId="0" fontId="0" fillId="0" borderId="6" xfId="0" applyBorder="1"/>
    <xf numFmtId="165" fontId="27" fillId="0" borderId="1" xfId="0" applyNumberFormat="1" applyFont="1" applyBorder="1" applyAlignment="1">
      <alignment horizontal="center" vertical="center"/>
    </xf>
    <xf numFmtId="0" fontId="0" fillId="3" borderId="1" xfId="0" applyFill="1" applyBorder="1" applyAlignment="1">
      <alignment horizontal="left" vertical="center"/>
    </xf>
    <xf numFmtId="0" fontId="0" fillId="3" borderId="2" xfId="0" applyFill="1" applyBorder="1" applyAlignment="1">
      <alignment horizontal="left" vertical="center"/>
    </xf>
    <xf numFmtId="0" fontId="0" fillId="3" borderId="3" xfId="0" applyFill="1" applyBorder="1" applyAlignment="1">
      <alignment horizontal="left" vertical="center"/>
    </xf>
    <xf numFmtId="0" fontId="0" fillId="3" borderId="1" xfId="0" applyFill="1" applyBorder="1" applyAlignment="1">
      <alignment horizontal="center" vertical="center"/>
    </xf>
    <xf numFmtId="0" fontId="11" fillId="3" borderId="1" xfId="0" applyFont="1" applyFill="1" applyBorder="1" applyAlignment="1">
      <alignment horizontal="center" vertical="center"/>
    </xf>
    <xf numFmtId="0" fontId="11" fillId="4" borderId="1" xfId="0" applyFont="1" applyFill="1" applyBorder="1" applyAlignment="1">
      <alignment horizontal="center"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27" fillId="0" borderId="1" xfId="0" applyFont="1" applyBorder="1" applyAlignment="1">
      <alignment horizontal="left" vertical="center"/>
    </xf>
    <xf numFmtId="0" fontId="0" fillId="2" borderId="2" xfId="0" applyFill="1" applyBorder="1" applyAlignment="1">
      <alignment horizontal="left" vertical="center"/>
    </xf>
    <xf numFmtId="0" fontId="0" fillId="2" borderId="4" xfId="0" applyFill="1" applyBorder="1" applyAlignment="1">
      <alignment horizontal="left" vertical="center"/>
    </xf>
    <xf numFmtId="0" fontId="0" fillId="2" borderId="3" xfId="0" applyFill="1" applyBorder="1" applyAlignment="1">
      <alignment horizontal="left"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3" borderId="3" xfId="0" applyFill="1" applyBorder="1" applyAlignment="1">
      <alignment horizontal="center" vertical="center"/>
    </xf>
    <xf numFmtId="0" fontId="8" fillId="3" borderId="1" xfId="0" applyFont="1" applyFill="1" applyBorder="1" applyAlignment="1">
      <alignment horizontal="center" vertical="center"/>
    </xf>
    <xf numFmtId="0" fontId="5" fillId="0" borderId="1" xfId="0" applyFont="1" applyBorder="1" applyAlignment="1">
      <alignment horizontal="center"/>
    </xf>
    <xf numFmtId="0" fontId="0" fillId="6" borderId="1" xfId="0" applyFill="1" applyBorder="1" applyAlignment="1">
      <alignment horizontal="center" vertical="center"/>
    </xf>
    <xf numFmtId="0" fontId="11" fillId="3" borderId="1" xfId="0" applyFont="1" applyFill="1" applyBorder="1" applyAlignment="1">
      <alignment horizontal="left" vertical="center"/>
    </xf>
    <xf numFmtId="0" fontId="11" fillId="3" borderId="2" xfId="0" applyFont="1" applyFill="1" applyBorder="1" applyAlignment="1">
      <alignment horizontal="left" vertical="center"/>
    </xf>
    <xf numFmtId="0" fontId="11" fillId="3" borderId="4" xfId="0" applyFont="1" applyFill="1" applyBorder="1" applyAlignment="1">
      <alignment horizontal="left" vertical="center"/>
    </xf>
    <xf numFmtId="0" fontId="11" fillId="3" borderId="3" xfId="0" applyFont="1" applyFill="1" applyBorder="1" applyAlignment="1">
      <alignment horizontal="left" vertical="center"/>
    </xf>
    <xf numFmtId="0" fontId="0" fillId="6" borderId="2" xfId="0" applyFill="1" applyBorder="1" applyAlignment="1">
      <alignment horizontal="left" vertical="center"/>
    </xf>
    <xf numFmtId="0" fontId="0" fillId="6" borderId="4" xfId="0" applyFill="1" applyBorder="1" applyAlignment="1">
      <alignment horizontal="left" vertical="center"/>
    </xf>
    <xf numFmtId="0" fontId="0" fillId="6" borderId="2" xfId="0" applyFill="1" applyBorder="1" applyAlignment="1">
      <alignment horizontal="center" vertical="center"/>
    </xf>
    <xf numFmtId="0" fontId="0" fillId="6" borderId="4" xfId="0" applyFill="1" applyBorder="1" applyAlignment="1">
      <alignment horizontal="center" vertical="center"/>
    </xf>
    <xf numFmtId="0" fontId="0" fillId="6" borderId="3" xfId="0" applyFill="1" applyBorder="1" applyAlignment="1">
      <alignment horizontal="center" vertical="center"/>
    </xf>
    <xf numFmtId="0" fontId="11" fillId="6" borderId="1" xfId="0" applyFont="1" applyFill="1" applyBorder="1" applyAlignment="1">
      <alignment horizontal="left" vertical="center"/>
    </xf>
    <xf numFmtId="0" fontId="29" fillId="0" borderId="2" xfId="0" applyFont="1" applyBorder="1" applyAlignment="1">
      <alignment horizontal="center" vertical="center"/>
    </xf>
    <xf numFmtId="0" fontId="29" fillId="0" borderId="4" xfId="0" applyFont="1" applyBorder="1" applyAlignment="1">
      <alignment horizontal="center" vertical="center"/>
    </xf>
    <xf numFmtId="0" fontId="29" fillId="0" borderId="3" xfId="0" applyFont="1" applyBorder="1" applyAlignment="1">
      <alignment horizontal="center" vertical="center"/>
    </xf>
    <xf numFmtId="0" fontId="11" fillId="6" borderId="2" xfId="0" applyFont="1" applyFill="1" applyBorder="1" applyAlignment="1">
      <alignment horizontal="center" vertical="center"/>
    </xf>
    <xf numFmtId="0" fontId="11" fillId="6" borderId="3" xfId="0" applyFont="1" applyFill="1"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11" fillId="6" borderId="2" xfId="0" applyFont="1" applyFill="1" applyBorder="1" applyAlignment="1">
      <alignment horizontal="left" vertical="center"/>
    </xf>
    <xf numFmtId="0" fontId="11" fillId="6" borderId="4" xfId="0" applyFont="1" applyFill="1" applyBorder="1" applyAlignment="1">
      <alignment horizontal="left" vertical="center"/>
    </xf>
    <xf numFmtId="0" fontId="11" fillId="6" borderId="3" xfId="0" applyFont="1" applyFill="1" applyBorder="1" applyAlignment="1">
      <alignment horizontal="left" vertical="center"/>
    </xf>
    <xf numFmtId="0" fontId="0" fillId="13" borderId="2" xfId="0" applyFill="1" applyBorder="1" applyAlignment="1">
      <alignment horizontal="left" vertical="center"/>
    </xf>
    <xf numFmtId="0" fontId="0" fillId="13" borderId="4" xfId="0" applyFill="1" applyBorder="1" applyAlignment="1">
      <alignment horizontal="left" vertical="center"/>
    </xf>
    <xf numFmtId="0" fontId="0" fillId="13" borderId="3" xfId="0" applyFill="1" applyBorder="1" applyAlignment="1">
      <alignment horizontal="left" vertical="center"/>
    </xf>
    <xf numFmtId="165" fontId="5" fillId="3" borderId="14" xfId="0" applyNumberFormat="1" applyFont="1" applyFill="1" applyBorder="1" applyAlignment="1">
      <alignment horizontal="center" vertical="center"/>
    </xf>
    <xf numFmtId="165" fontId="5" fillId="3" borderId="15" xfId="0" applyNumberFormat="1" applyFont="1" applyFill="1" applyBorder="1" applyAlignment="1">
      <alignment horizontal="center" vertical="center"/>
    </xf>
    <xf numFmtId="0" fontId="11" fillId="6" borderId="10" xfId="0" applyFont="1" applyFill="1" applyBorder="1" applyAlignment="1">
      <alignment horizontal="center" vertical="center"/>
    </xf>
    <xf numFmtId="0" fontId="11" fillId="6" borderId="5"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5" fillId="6" borderId="2" xfId="0" applyFont="1" applyFill="1" applyBorder="1" applyAlignment="1">
      <alignment horizontal="center" vertical="center"/>
    </xf>
    <xf numFmtId="0" fontId="5" fillId="6" borderId="4" xfId="0" applyFont="1" applyFill="1" applyBorder="1" applyAlignment="1">
      <alignment horizontal="center" vertical="center"/>
    </xf>
    <xf numFmtId="0" fontId="5" fillId="6" borderId="3" xfId="0" applyFont="1" applyFill="1" applyBorder="1" applyAlignment="1">
      <alignment horizontal="center" vertical="center"/>
    </xf>
    <xf numFmtId="0" fontId="11" fillId="6"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2" fillId="14" borderId="2" xfId="0" applyFont="1" applyFill="1" applyBorder="1" applyAlignment="1">
      <alignment horizontal="center"/>
    </xf>
    <xf numFmtId="0" fontId="12" fillId="14" borderId="4" xfId="0" applyFont="1" applyFill="1" applyBorder="1" applyAlignment="1">
      <alignment horizontal="center"/>
    </xf>
    <xf numFmtId="0" fontId="12" fillId="14" borderId="3" xfId="0" applyFont="1" applyFill="1" applyBorder="1" applyAlignment="1">
      <alignment horizontal="center"/>
    </xf>
    <xf numFmtId="0" fontId="0" fillId="3" borderId="4" xfId="0" applyFill="1" applyBorder="1" applyAlignment="1">
      <alignment horizontal="left" vertical="center"/>
    </xf>
    <xf numFmtId="0" fontId="5" fillId="0" borderId="0" xfId="0" applyFont="1" applyAlignment="1">
      <alignment horizontal="center" vertical="center"/>
    </xf>
    <xf numFmtId="0" fontId="0" fillId="3" borderId="8" xfId="0" applyFill="1" applyBorder="1" applyAlignment="1">
      <alignment horizontal="center"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0" fillId="3" borderId="10"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5" fillId="0" borderId="4" xfId="0" applyFont="1" applyBorder="1" applyAlignment="1">
      <alignment horizontal="left" vertical="center"/>
    </xf>
    <xf numFmtId="0" fontId="5" fillId="0" borderId="7" xfId="0" applyFont="1" applyBorder="1" applyAlignment="1">
      <alignment horizontal="center" vertical="center"/>
    </xf>
    <xf numFmtId="0" fontId="5" fillId="15" borderId="1" xfId="0" applyFont="1" applyFill="1" applyBorder="1" applyAlignment="1">
      <alignment horizontal="left" vertical="center"/>
    </xf>
    <xf numFmtId="0" fontId="0" fillId="7" borderId="2" xfId="0" applyFill="1" applyBorder="1" applyAlignment="1">
      <alignment horizontal="center" vertical="center"/>
    </xf>
    <xf numFmtId="0" fontId="0" fillId="7" borderId="3" xfId="0" applyFill="1" applyBorder="1" applyAlignment="1">
      <alignment horizontal="center" vertical="center"/>
    </xf>
    <xf numFmtId="0" fontId="5" fillId="6" borderId="1" xfId="0" applyFont="1" applyFill="1" applyBorder="1" applyAlignment="1">
      <alignment horizontal="center" vertical="center"/>
    </xf>
    <xf numFmtId="0" fontId="12" fillId="0" borderId="2" xfId="0" applyFont="1" applyBorder="1" applyAlignment="1">
      <alignment horizontal="center"/>
    </xf>
    <xf numFmtId="0" fontId="12" fillId="0" borderId="4" xfId="0" applyFont="1" applyBorder="1" applyAlignment="1">
      <alignment horizontal="center"/>
    </xf>
    <xf numFmtId="0" fontId="12" fillId="0" borderId="3" xfId="0" applyFont="1" applyBorder="1" applyAlignment="1">
      <alignment horizontal="center"/>
    </xf>
    <xf numFmtId="0" fontId="12" fillId="0" borderId="1" xfId="0" applyFont="1" applyBorder="1" applyAlignment="1">
      <alignment horizontal="center" vertical="center"/>
    </xf>
    <xf numFmtId="0" fontId="17" fillId="3" borderId="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9" xfId="0" applyFont="1" applyFill="1" applyBorder="1" applyAlignment="1">
      <alignment horizontal="center" vertical="center"/>
    </xf>
    <xf numFmtId="0" fontId="17" fillId="3" borderId="0" xfId="0" applyFont="1" applyFill="1" applyAlignment="1">
      <alignment horizontal="center" vertical="center"/>
    </xf>
    <xf numFmtId="0" fontId="0" fillId="11" borderId="2" xfId="0" applyFill="1" applyBorder="1" applyAlignment="1">
      <alignment horizontal="center" vertical="center"/>
    </xf>
    <xf numFmtId="0" fontId="0" fillId="11" borderId="4" xfId="0" applyFill="1" applyBorder="1" applyAlignment="1">
      <alignment horizontal="center" vertical="center"/>
    </xf>
    <xf numFmtId="0" fontId="0" fillId="11" borderId="3" xfId="0" applyFill="1" applyBorder="1" applyAlignment="1">
      <alignment horizontal="center"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0" fillId="6" borderId="3" xfId="0" applyFill="1" applyBorder="1" applyAlignment="1">
      <alignment horizontal="left" vertical="center"/>
    </xf>
    <xf numFmtId="0" fontId="0" fillId="21" borderId="1" xfId="0" applyFill="1" applyBorder="1" applyAlignment="1">
      <alignment horizontal="center" vertical="center"/>
    </xf>
    <xf numFmtId="0" fontId="0" fillId="11" borderId="1" xfId="0" applyFill="1"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8" fillId="6" borderId="2" xfId="0" applyFont="1" applyFill="1" applyBorder="1" applyAlignment="1">
      <alignment horizontal="center" vertical="center"/>
    </xf>
    <xf numFmtId="0" fontId="8" fillId="6" borderId="4" xfId="0" applyFont="1" applyFill="1" applyBorder="1" applyAlignment="1">
      <alignment horizontal="center" vertical="center"/>
    </xf>
    <xf numFmtId="0" fontId="8" fillId="6" borderId="3" xfId="0" applyFont="1" applyFill="1" applyBorder="1" applyAlignment="1">
      <alignment horizontal="center" vertical="center"/>
    </xf>
    <xf numFmtId="0" fontId="19" fillId="0" borderId="8" xfId="0" applyFont="1" applyBorder="1" applyAlignment="1">
      <alignment horizontal="center" vertical="center"/>
    </xf>
    <xf numFmtId="0" fontId="19" fillId="0" borderId="7" xfId="0" applyFont="1" applyBorder="1" applyAlignment="1">
      <alignment horizontal="center" vertical="center"/>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19" fillId="0" borderId="5" xfId="0" applyFont="1" applyBorder="1" applyAlignment="1">
      <alignment horizontal="center" vertical="center"/>
    </xf>
    <xf numFmtId="0" fontId="19" fillId="0" borderId="6"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7" fillId="3" borderId="10" xfId="0" applyFont="1" applyFill="1" applyBorder="1" applyAlignment="1">
      <alignment horizontal="center" vertical="center"/>
    </xf>
    <xf numFmtId="0" fontId="17" fillId="3" borderId="5" xfId="0" applyFont="1" applyFill="1" applyBorder="1" applyAlignment="1">
      <alignment horizontal="center" vertical="center"/>
    </xf>
    <xf numFmtId="0" fontId="17" fillId="3" borderId="6" xfId="0" applyFont="1" applyFill="1"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5" fillId="0" borderId="15" xfId="0" applyFont="1" applyBorder="1" applyAlignment="1">
      <alignment horizontal="center" vertical="center"/>
    </xf>
    <xf numFmtId="0" fontId="8" fillId="6" borderId="1" xfId="0" applyFont="1" applyFill="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17" fillId="3" borderId="2"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3" xfId="0" applyFont="1" applyFill="1" applyBorder="1" applyAlignment="1">
      <alignment horizontal="center" vertical="center"/>
    </xf>
    <xf numFmtId="0" fontId="5" fillId="6" borderId="2" xfId="0" applyFont="1" applyFill="1" applyBorder="1" applyAlignment="1">
      <alignment horizontal="left" vertical="center"/>
    </xf>
    <xf numFmtId="0" fontId="5" fillId="6" borderId="4" xfId="0" applyFont="1" applyFill="1" applyBorder="1" applyAlignment="1">
      <alignment horizontal="left" vertical="center"/>
    </xf>
    <xf numFmtId="0" fontId="8" fillId="3" borderId="2"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3"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1" fillId="6" borderId="2" xfId="0" applyFont="1" applyFill="1" applyBorder="1" applyAlignment="1">
      <alignment horizontal="center" vertical="center"/>
    </xf>
    <xf numFmtId="0" fontId="21" fillId="6" borderId="4" xfId="0" applyFont="1" applyFill="1" applyBorder="1" applyAlignment="1">
      <alignment horizontal="center" vertical="center"/>
    </xf>
    <xf numFmtId="0" fontId="21" fillId="6" borderId="3" xfId="0" applyFont="1" applyFill="1" applyBorder="1" applyAlignment="1">
      <alignment horizontal="center" vertical="center"/>
    </xf>
    <xf numFmtId="0" fontId="0" fillId="2" borderId="0" xfId="0" applyFill="1" applyBorder="1" applyAlignment="1">
      <alignment horizontal="left"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165" fontId="0" fillId="3" borderId="2" xfId="0" applyNumberFormat="1" applyFill="1" applyBorder="1" applyAlignment="1">
      <alignment horizontal="center" vertical="center"/>
    </xf>
    <xf numFmtId="165" fontId="0" fillId="3" borderId="3" xfId="0" applyNumberFormat="1" applyFill="1" applyBorder="1" applyAlignment="1">
      <alignment horizontal="center" vertical="center"/>
    </xf>
    <xf numFmtId="0" fontId="0" fillId="17" borderId="1" xfId="0" applyFill="1" applyBorder="1" applyAlignment="1">
      <alignment horizontal="center" vertical="center"/>
    </xf>
    <xf numFmtId="0" fontId="0" fillId="0" borderId="0" xfId="0" applyFill="1" applyBorder="1" applyAlignment="1">
      <alignment horizontal="center" vertical="center"/>
    </xf>
    <xf numFmtId="0" fontId="0" fillId="0" borderId="16"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25" borderId="2" xfId="0" applyFill="1" applyBorder="1" applyAlignment="1">
      <alignment horizontal="center" vertical="center"/>
    </xf>
    <xf numFmtId="0" fontId="0" fillId="25" borderId="4" xfId="0" applyFill="1" applyBorder="1" applyAlignment="1">
      <alignment horizontal="center" vertical="center"/>
    </xf>
    <xf numFmtId="0" fontId="0" fillId="25" borderId="3" xfId="0" applyFill="1" applyBorder="1" applyAlignment="1">
      <alignment horizontal="center" vertical="center"/>
    </xf>
    <xf numFmtId="0" fontId="27" fillId="0" borderId="1" xfId="0" applyFont="1" applyBorder="1" applyAlignment="1">
      <alignment horizontal="center" vertical="center"/>
    </xf>
    <xf numFmtId="0" fontId="0" fillId="16" borderId="1" xfId="0" applyFill="1" applyBorder="1" applyAlignment="1">
      <alignment horizontal="center" vertical="center"/>
    </xf>
    <xf numFmtId="0" fontId="5" fillId="0" borderId="1" xfId="0" applyFont="1" applyBorder="1" applyAlignment="1">
      <alignment horizontal="center" vertical="center"/>
    </xf>
    <xf numFmtId="0" fontId="14" fillId="3" borderId="1" xfId="0" applyFont="1" applyFill="1" applyBorder="1" applyAlignment="1">
      <alignment horizontal="left" vertical="center"/>
    </xf>
    <xf numFmtId="0" fontId="0" fillId="0" borderId="18" xfId="0" applyBorder="1" applyAlignment="1">
      <alignment horizontal="center" vertical="center"/>
    </xf>
    <xf numFmtId="0" fontId="0" fillId="0" borderId="17" xfId="0" applyBorder="1" applyAlignment="1">
      <alignment horizontal="center" vertical="center"/>
    </xf>
    <xf numFmtId="0" fontId="33" fillId="0" borderId="7" xfId="0" applyFont="1" applyBorder="1" applyAlignment="1">
      <alignment horizontal="center" vertical="center"/>
    </xf>
    <xf numFmtId="0" fontId="33" fillId="0" borderId="9" xfId="0" applyFont="1" applyBorder="1" applyAlignment="1">
      <alignment horizontal="center" vertical="center"/>
    </xf>
    <xf numFmtId="0" fontId="33" fillId="0" borderId="10" xfId="0" applyFont="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22" fillId="0" borderId="18" xfId="0" applyFont="1" applyBorder="1" applyAlignment="1">
      <alignment horizontal="center" vertical="center"/>
    </xf>
    <xf numFmtId="0" fontId="23" fillId="0" borderId="18" xfId="0" applyFont="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0" fillId="3" borderId="12" xfId="0" applyFill="1" applyBorder="1" applyAlignment="1">
      <alignment horizontal="center" vertical="center"/>
    </xf>
    <xf numFmtId="0" fontId="0" fillId="3" borderId="11" xfId="0" applyFill="1" applyBorder="1" applyAlignment="1">
      <alignment horizontal="center" vertical="center"/>
    </xf>
    <xf numFmtId="0" fontId="5" fillId="3" borderId="4" xfId="0" applyFont="1" applyFill="1" applyBorder="1" applyAlignment="1">
      <alignment horizontal="center" vertical="center"/>
    </xf>
    <xf numFmtId="0" fontId="17" fillId="0" borderId="7"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0" fillId="16" borderId="2" xfId="0" applyFill="1" applyBorder="1" applyAlignment="1">
      <alignment horizontal="center" vertical="center"/>
    </xf>
    <xf numFmtId="0" fontId="0" fillId="16" borderId="4" xfId="0" applyFill="1" applyBorder="1" applyAlignment="1">
      <alignment horizontal="center" vertical="center"/>
    </xf>
    <xf numFmtId="0" fontId="0" fillId="16" borderId="3" xfId="0" applyFill="1" applyBorder="1" applyAlignment="1">
      <alignment horizontal="center" vertical="center"/>
    </xf>
    <xf numFmtId="0" fontId="0" fillId="17" borderId="2" xfId="0" applyFill="1" applyBorder="1" applyAlignment="1">
      <alignment horizontal="center" vertical="center"/>
    </xf>
    <xf numFmtId="0" fontId="0" fillId="17" borderId="3" xfId="0" applyFill="1" applyBorder="1" applyAlignment="1">
      <alignment horizontal="center" vertical="center"/>
    </xf>
    <xf numFmtId="0" fontId="5" fillId="3" borderId="1" xfId="0" applyFont="1" applyFill="1" applyBorder="1" applyAlignment="1">
      <alignment horizontal="center" vertical="center"/>
    </xf>
    <xf numFmtId="0" fontId="27" fillId="0" borderId="4" xfId="0" applyFont="1" applyBorder="1" applyAlignment="1">
      <alignment horizontal="center" vertical="center"/>
    </xf>
    <xf numFmtId="0" fontId="14" fillId="3" borderId="2" xfId="0" applyFont="1" applyFill="1" applyBorder="1" applyAlignment="1">
      <alignment horizontal="left" vertical="center"/>
    </xf>
    <xf numFmtId="0" fontId="14" fillId="3" borderId="3" xfId="0" applyFont="1" applyFill="1" applyBorder="1" applyAlignment="1">
      <alignment horizontal="left" vertical="center"/>
    </xf>
    <xf numFmtId="0" fontId="5" fillId="0" borderId="4" xfId="0" applyFont="1" applyBorder="1" applyAlignment="1">
      <alignment horizontal="center" vertical="center"/>
    </xf>
    <xf numFmtId="0" fontId="17" fillId="3" borderId="1" xfId="0" applyFont="1" applyFill="1"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xf>
    <xf numFmtId="0" fontId="14" fillId="3" borderId="1" xfId="0" applyFont="1" applyFill="1" applyBorder="1" applyAlignment="1">
      <alignment horizontal="center" vertical="center"/>
    </xf>
    <xf numFmtId="0" fontId="0" fillId="16" borderId="1" xfId="0" applyFill="1" applyBorder="1" applyAlignment="1">
      <alignment horizontal="center"/>
    </xf>
    <xf numFmtId="0" fontId="0" fillId="17" borderId="1" xfId="0" applyFill="1" applyBorder="1" applyAlignment="1">
      <alignment horizontal="center"/>
    </xf>
    <xf numFmtId="0" fontId="17" fillId="3" borderId="2" xfId="0" applyFont="1" applyFill="1" applyBorder="1" applyAlignment="1">
      <alignment horizontal="center"/>
    </xf>
    <xf numFmtId="0" fontId="17" fillId="3" borderId="4" xfId="0" applyFont="1" applyFill="1" applyBorder="1" applyAlignment="1">
      <alignment horizontal="center"/>
    </xf>
    <xf numFmtId="0" fontId="17" fillId="3" borderId="3" xfId="0" applyFont="1" applyFill="1" applyBorder="1" applyAlignment="1">
      <alignment horizontal="center"/>
    </xf>
    <xf numFmtId="0" fontId="0" fillId="3" borderId="1" xfId="0" applyFill="1" applyBorder="1" applyAlignment="1">
      <alignment horizontal="center"/>
    </xf>
    <xf numFmtId="0" fontId="8" fillId="3" borderId="1" xfId="0" applyFont="1" applyFill="1" applyBorder="1" applyAlignment="1">
      <alignment horizontal="center"/>
    </xf>
    <xf numFmtId="0" fontId="27" fillId="0" borderId="1" xfId="0" applyFont="1" applyBorder="1" applyAlignment="1">
      <alignment horizontal="center"/>
    </xf>
    <xf numFmtId="2" fontId="14" fillId="0" borderId="1" xfId="0" applyNumberFormat="1" applyFont="1" applyBorder="1" applyAlignment="1">
      <alignment horizontal="center"/>
    </xf>
    <xf numFmtId="165" fontId="26" fillId="0" borderId="1" xfId="0" applyNumberFormat="1" applyFont="1"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26" fillId="0" borderId="1" xfId="0" applyFont="1" applyBorder="1" applyAlignment="1">
      <alignment horizontal="center"/>
    </xf>
    <xf numFmtId="0" fontId="0" fillId="3" borderId="2" xfId="0" applyFill="1" applyBorder="1" applyAlignment="1">
      <alignment horizontal="center"/>
    </xf>
    <xf numFmtId="0" fontId="0" fillId="3" borderId="3" xfId="0" applyFill="1"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3" borderId="4" xfId="0" applyFill="1" applyBorder="1" applyAlignment="1">
      <alignment horizontal="center"/>
    </xf>
    <xf numFmtId="0" fontId="17" fillId="3" borderId="1" xfId="0" applyFont="1" applyFill="1" applyBorder="1" applyAlignment="1">
      <alignment horizontal="center"/>
    </xf>
    <xf numFmtId="0" fontId="0" fillId="0" borderId="1" xfId="0" applyBorder="1" applyAlignment="1">
      <alignment horizontal="center" wrapText="1"/>
    </xf>
    <xf numFmtId="0" fontId="0" fillId="3" borderId="1" xfId="0" applyFill="1" applyBorder="1" applyAlignment="1">
      <alignment horizontal="center"/>
    </xf>
    <xf numFmtId="0" fontId="14" fillId="3" borderId="1" xfId="0" applyFont="1" applyFill="1" applyBorder="1" applyAlignment="1">
      <alignment horizontal="center"/>
    </xf>
    <xf numFmtId="0" fontId="32" fillId="0" borderId="0" xfId="0" applyFont="1" applyAlignment="1">
      <alignment horizont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colors>
    <mruColors>
      <color rgb="FF66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3433298862461223E-2"/>
          <c:y val="2.2033898305084745E-2"/>
          <c:w val="0.93898655635987593"/>
          <c:h val="0.91694915254237286"/>
        </c:manualLayout>
      </c:layout>
      <c:scatterChart>
        <c:scatterStyle val="lineMarker"/>
        <c:varyColors val="0"/>
        <c:ser>
          <c:idx val="0"/>
          <c:order val="0"/>
          <c:tx>
            <c:v>SLD-Se</c:v>
          </c:tx>
          <c:spPr>
            <a:ln w="12700">
              <a:solidFill>
                <a:srgbClr val="000000"/>
              </a:solidFill>
              <a:prstDash val="solid"/>
            </a:ln>
          </c:spPr>
          <c:marker>
            <c:symbol val="none"/>
          </c:marker>
          <c:xVal>
            <c:numRef>
              <c:f>'[1]val x spettri'!$A$5:$A$52</c:f>
              <c:numCache>
                <c:formatCode>General</c:formatCode>
                <c:ptCount val="48"/>
                <c:pt idx="0">
                  <c:v>0</c:v>
                </c:pt>
                <c:pt idx="1">
                  <c:v>0.13862751483462707</c:v>
                </c:pt>
                <c:pt idx="2">
                  <c:v>0.41588254450388124</c:v>
                </c:pt>
                <c:pt idx="3">
                  <c:v>0.46908645968708518</c:v>
                </c:pt>
                <c:pt idx="4">
                  <c:v>0.52229037487028918</c:v>
                </c:pt>
                <c:pt idx="5">
                  <c:v>0.57549429005349317</c:v>
                </c:pt>
                <c:pt idx="6">
                  <c:v>0.62869820523669706</c:v>
                </c:pt>
                <c:pt idx="7">
                  <c:v>0.68190212041990106</c:v>
                </c:pt>
                <c:pt idx="8">
                  <c:v>0.73510603560310495</c:v>
                </c:pt>
                <c:pt idx="9">
                  <c:v>0.78830995078630894</c:v>
                </c:pt>
                <c:pt idx="10">
                  <c:v>0.84151386596951294</c:v>
                </c:pt>
                <c:pt idx="11">
                  <c:v>0.89471778115271694</c:v>
                </c:pt>
                <c:pt idx="12">
                  <c:v>0.94792169633592094</c:v>
                </c:pt>
                <c:pt idx="13">
                  <c:v>1.0011256115191247</c:v>
                </c:pt>
                <c:pt idx="14">
                  <c:v>1.0543295267023287</c:v>
                </c:pt>
                <c:pt idx="15">
                  <c:v>1.1075334418855327</c:v>
                </c:pt>
                <c:pt idx="16">
                  <c:v>1.1607373570687367</c:v>
                </c:pt>
                <c:pt idx="17">
                  <c:v>1.2139412722519407</c:v>
                </c:pt>
                <c:pt idx="18">
                  <c:v>1.2671451874351447</c:v>
                </c:pt>
                <c:pt idx="19">
                  <c:v>1.3203491026183487</c:v>
                </c:pt>
                <c:pt idx="20">
                  <c:v>1.3735530178015525</c:v>
                </c:pt>
                <c:pt idx="21">
                  <c:v>1.4267569329847565</c:v>
                </c:pt>
                <c:pt idx="22">
                  <c:v>1.4799608481679605</c:v>
                </c:pt>
                <c:pt idx="23">
                  <c:v>1.5331647633511643</c:v>
                </c:pt>
                <c:pt idx="24">
                  <c:v>1.5863686785343682</c:v>
                </c:pt>
                <c:pt idx="25">
                  <c:v>1.6395725937175722</c:v>
                </c:pt>
                <c:pt idx="26">
                  <c:v>1.6927765089007762</c:v>
                </c:pt>
                <c:pt idx="27">
                  <c:v>1.7459804240839802</c:v>
                </c:pt>
                <c:pt idx="28">
                  <c:v>1.799184339267184</c:v>
                </c:pt>
                <c:pt idx="29">
                  <c:v>1.852388254450388</c:v>
                </c:pt>
                <c:pt idx="30">
                  <c:v>1.905592169633592</c:v>
                </c:pt>
                <c:pt idx="31">
                  <c:v>1.9587960848167962</c:v>
                </c:pt>
                <c:pt idx="32">
                  <c:v>2.012</c:v>
                </c:pt>
                <c:pt idx="33">
                  <c:v>2.0778666666666665</c:v>
                </c:pt>
                <c:pt idx="34">
                  <c:v>2.1437333333333335</c:v>
                </c:pt>
                <c:pt idx="35">
                  <c:v>2.2096</c:v>
                </c:pt>
                <c:pt idx="36">
                  <c:v>2.2754666666666665</c:v>
                </c:pt>
                <c:pt idx="37">
                  <c:v>2.3413333333333335</c:v>
                </c:pt>
                <c:pt idx="38">
                  <c:v>2.4072</c:v>
                </c:pt>
                <c:pt idx="39">
                  <c:v>2.4730666666666665</c:v>
                </c:pt>
                <c:pt idx="40">
                  <c:v>2.5389333333333335</c:v>
                </c:pt>
                <c:pt idx="41">
                  <c:v>2.6048</c:v>
                </c:pt>
                <c:pt idx="42">
                  <c:v>2.6706666666666665</c:v>
                </c:pt>
                <c:pt idx="43">
                  <c:v>2.7365333333333335</c:v>
                </c:pt>
                <c:pt idx="44">
                  <c:v>2.8024</c:v>
                </c:pt>
                <c:pt idx="45">
                  <c:v>2.8682666666666665</c:v>
                </c:pt>
                <c:pt idx="46">
                  <c:v>2.9341333333333335</c:v>
                </c:pt>
                <c:pt idx="47">
                  <c:v>3</c:v>
                </c:pt>
              </c:numCache>
            </c:numRef>
          </c:xVal>
          <c:yVal>
            <c:numRef>
              <c:f>'[1]val x spettri'!$B$5:$B$52</c:f>
              <c:numCache>
                <c:formatCode>General</c:formatCode>
                <c:ptCount val="48"/>
                <c:pt idx="0">
                  <c:v>0.1545</c:v>
                </c:pt>
                <c:pt idx="1">
                  <c:v>0.39304800000000001</c:v>
                </c:pt>
                <c:pt idx="2">
                  <c:v>0.39304800000000001</c:v>
                </c:pt>
                <c:pt idx="3">
                  <c:v>0.34846838781320277</c:v>
                </c:pt>
                <c:pt idx="4">
                  <c:v>0.31297111763309299</c:v>
                </c:pt>
                <c:pt idx="5">
                  <c:v>0.2840372270886779</c:v>
                </c:pt>
                <c:pt idx="6">
                  <c:v>0.26000042785332939</c:v>
                </c:pt>
                <c:pt idx="7">
                  <c:v>0.23971446554749698</c:v>
                </c:pt>
                <c:pt idx="8">
                  <c:v>0.22236493027574195</c:v>
                </c:pt>
                <c:pt idx="9">
                  <c:v>0.20735727386050962</c:v>
                </c:pt>
                <c:pt idx="10">
                  <c:v>0.19424730710032476</c:v>
                </c:pt>
                <c:pt idx="11">
                  <c:v>0.18269649468859797</c:v>
                </c:pt>
                <c:pt idx="12">
                  <c:v>0.17244230508068731</c:v>
                </c:pt>
                <c:pt idx="13">
                  <c:v>0.16327801473795267</c:v>
                </c:pt>
                <c:pt idx="14">
                  <c:v>0.15503862712014521</c:v>
                </c:pt>
                <c:pt idx="15">
                  <c:v>0.14759085023552349</c:v>
                </c:pt>
                <c:pt idx="16">
                  <c:v>0.14082583054357714</c:v>
                </c:pt>
                <c:pt idx="17">
                  <c:v>0.13465379758357596</c:v>
                </c:pt>
                <c:pt idx="18">
                  <c:v>0.12900005774636447</c:v>
                </c:pt>
                <c:pt idx="19">
                  <c:v>0.12380195664010739</c:v>
                </c:pt>
                <c:pt idx="20">
                  <c:v>0.11900654742384183</c:v>
                </c:pt>
                <c:pt idx="21">
                  <c:v>0.11456878082954298</c:v>
                </c:pt>
                <c:pt idx="22">
                  <c:v>0.11045008559146037</c:v>
                </c:pt>
                <c:pt idx="23">
                  <c:v>0.10661724444727624</c:v>
                </c:pt>
                <c:pt idx="24">
                  <c:v>0.10304149632050376</c:v>
                </c:pt>
                <c:pt idx="25">
                  <c:v>9.9697813307264238E-2</c:v>
                </c:pt>
                <c:pt idx="26">
                  <c:v>9.6564314008768526E-2</c:v>
                </c:pt>
                <c:pt idx="27">
                  <c:v>9.3621784126199994E-2</c:v>
                </c:pt>
                <c:pt idx="28">
                  <c:v>9.0853282114905606E-2</c:v>
                </c:pt>
                <c:pt idx="29">
                  <c:v>8.8243812796503271E-2</c:v>
                </c:pt>
                <c:pt idx="30">
                  <c:v>8.5780055647264764E-2</c:v>
                </c:pt>
                <c:pt idx="31">
                  <c:v>8.3450137367131749E-2</c:v>
                </c:pt>
                <c:pt idx="32">
                  <c:v>8.124344053288346E-2</c:v>
                </c:pt>
                <c:pt idx="33">
                  <c:v>7.617437635289652E-2</c:v>
                </c:pt>
                <c:pt idx="34">
                  <c:v>7.1565339802853872E-2</c:v>
                </c:pt>
                <c:pt idx="35">
                  <c:v>6.7362304643473703E-2</c:v>
                </c:pt>
                <c:pt idx="36">
                  <c:v>6.3518949034705896E-2</c:v>
                </c:pt>
                <c:pt idx="37">
                  <c:v>5.9995373756641324E-2</c:v>
                </c:pt>
                <c:pt idx="38">
                  <c:v>5.6757062494206506E-2</c:v>
                </c:pt>
                <c:pt idx="39">
                  <c:v>5.377403331676419E-2</c:v>
                </c:pt>
                <c:pt idx="40">
                  <c:v>5.1020142201444671E-2</c:v>
                </c:pt>
                <c:pt idx="41">
                  <c:v>4.8472508242636513E-2</c:v>
                </c:pt>
                <c:pt idx="42">
                  <c:v>4.6111036842653844E-2</c:v>
                </c:pt>
                <c:pt idx="43">
                  <c:v>4.3918022249925366E-2</c:v>
                </c:pt>
                <c:pt idx="44">
                  <c:v>4.187781470493647E-2</c:v>
                </c:pt>
                <c:pt idx="45">
                  <c:v>3.9976540464476767E-2</c:v>
                </c:pt>
                <c:pt idx="46">
                  <c:v>3.8201865317138435E-2</c:v>
                </c:pt>
                <c:pt idx="47">
                  <c:v>3.6542794036949884E-2</c:v>
                </c:pt>
              </c:numCache>
            </c:numRef>
          </c:yVal>
          <c:smooth val="0"/>
        </c:ser>
        <c:ser>
          <c:idx val="5"/>
          <c:order val="1"/>
          <c:tx>
            <c:v>SLD-Sd</c:v>
          </c:tx>
          <c:spPr>
            <a:ln w="25400">
              <a:solidFill>
                <a:srgbClr val="000000"/>
              </a:solidFill>
              <a:prstDash val="solid"/>
            </a:ln>
          </c:spPr>
          <c:marker>
            <c:symbol val="none"/>
          </c:marker>
          <c:xVal>
            <c:numRef>
              <c:f>'[1]val x spettri'!$A$5:$A$52</c:f>
              <c:numCache>
                <c:formatCode>General</c:formatCode>
                <c:ptCount val="48"/>
                <c:pt idx="0">
                  <c:v>0</c:v>
                </c:pt>
                <c:pt idx="1">
                  <c:v>0.13862751483462707</c:v>
                </c:pt>
                <c:pt idx="2">
                  <c:v>0.41588254450388124</c:v>
                </c:pt>
                <c:pt idx="3">
                  <c:v>0.46908645968708518</c:v>
                </c:pt>
                <c:pt idx="4">
                  <c:v>0.52229037487028918</c:v>
                </c:pt>
                <c:pt idx="5">
                  <c:v>0.57549429005349317</c:v>
                </c:pt>
                <c:pt idx="6">
                  <c:v>0.62869820523669706</c:v>
                </c:pt>
                <c:pt idx="7">
                  <c:v>0.68190212041990106</c:v>
                </c:pt>
                <c:pt idx="8">
                  <c:v>0.73510603560310495</c:v>
                </c:pt>
                <c:pt idx="9">
                  <c:v>0.78830995078630894</c:v>
                </c:pt>
                <c:pt idx="10">
                  <c:v>0.84151386596951294</c:v>
                </c:pt>
                <c:pt idx="11">
                  <c:v>0.89471778115271694</c:v>
                </c:pt>
                <c:pt idx="12">
                  <c:v>0.94792169633592094</c:v>
                </c:pt>
                <c:pt idx="13">
                  <c:v>1.0011256115191247</c:v>
                </c:pt>
                <c:pt idx="14">
                  <c:v>1.0543295267023287</c:v>
                </c:pt>
                <c:pt idx="15">
                  <c:v>1.1075334418855327</c:v>
                </c:pt>
                <c:pt idx="16">
                  <c:v>1.1607373570687367</c:v>
                </c:pt>
                <c:pt idx="17">
                  <c:v>1.2139412722519407</c:v>
                </c:pt>
                <c:pt idx="18">
                  <c:v>1.2671451874351447</c:v>
                </c:pt>
                <c:pt idx="19">
                  <c:v>1.3203491026183487</c:v>
                </c:pt>
                <c:pt idx="20">
                  <c:v>1.3735530178015525</c:v>
                </c:pt>
                <c:pt idx="21">
                  <c:v>1.4267569329847565</c:v>
                </c:pt>
                <c:pt idx="22">
                  <c:v>1.4799608481679605</c:v>
                </c:pt>
                <c:pt idx="23">
                  <c:v>1.5331647633511643</c:v>
                </c:pt>
                <c:pt idx="24">
                  <c:v>1.5863686785343682</c:v>
                </c:pt>
                <c:pt idx="25">
                  <c:v>1.6395725937175722</c:v>
                </c:pt>
                <c:pt idx="26">
                  <c:v>1.6927765089007762</c:v>
                </c:pt>
                <c:pt idx="27">
                  <c:v>1.7459804240839802</c:v>
                </c:pt>
                <c:pt idx="28">
                  <c:v>1.799184339267184</c:v>
                </c:pt>
                <c:pt idx="29">
                  <c:v>1.852388254450388</c:v>
                </c:pt>
                <c:pt idx="30">
                  <c:v>1.905592169633592</c:v>
                </c:pt>
                <c:pt idx="31">
                  <c:v>1.9587960848167962</c:v>
                </c:pt>
                <c:pt idx="32">
                  <c:v>2.012</c:v>
                </c:pt>
                <c:pt idx="33">
                  <c:v>2.0778666666666665</c:v>
                </c:pt>
                <c:pt idx="34">
                  <c:v>2.1437333333333335</c:v>
                </c:pt>
                <c:pt idx="35">
                  <c:v>2.2096</c:v>
                </c:pt>
                <c:pt idx="36">
                  <c:v>2.2754666666666665</c:v>
                </c:pt>
                <c:pt idx="37">
                  <c:v>2.3413333333333335</c:v>
                </c:pt>
                <c:pt idx="38">
                  <c:v>2.4072</c:v>
                </c:pt>
                <c:pt idx="39">
                  <c:v>2.4730666666666665</c:v>
                </c:pt>
                <c:pt idx="40">
                  <c:v>2.5389333333333335</c:v>
                </c:pt>
                <c:pt idx="41">
                  <c:v>2.6048</c:v>
                </c:pt>
                <c:pt idx="42">
                  <c:v>2.6706666666666665</c:v>
                </c:pt>
                <c:pt idx="43">
                  <c:v>2.7365333333333335</c:v>
                </c:pt>
                <c:pt idx="44">
                  <c:v>2.8024</c:v>
                </c:pt>
                <c:pt idx="45">
                  <c:v>2.8682666666666665</c:v>
                </c:pt>
                <c:pt idx="46">
                  <c:v>2.9341333333333335</c:v>
                </c:pt>
                <c:pt idx="47">
                  <c:v>3</c:v>
                </c:pt>
              </c:numCache>
            </c:numRef>
          </c:xVal>
          <c:yVal>
            <c:numRef>
              <c:f>'[1]val x spettri'!$C$5:$C$52</c:f>
              <c:numCache>
                <c:formatCode>General</c:formatCode>
                <c:ptCount val="48"/>
                <c:pt idx="0">
                  <c:v>0.1545</c:v>
                </c:pt>
                <c:pt idx="1">
                  <c:v>0.26203199999999999</c:v>
                </c:pt>
                <c:pt idx="2">
                  <c:v>0.26203199999999999</c:v>
                </c:pt>
                <c:pt idx="3">
                  <c:v>0.23231225854213519</c:v>
                </c:pt>
                <c:pt idx="4">
                  <c:v>0.20864741175539533</c:v>
                </c:pt>
                <c:pt idx="5">
                  <c:v>0.18935815139245193</c:v>
                </c:pt>
                <c:pt idx="6">
                  <c:v>0.17333361856888624</c:v>
                </c:pt>
                <c:pt idx="7">
                  <c:v>0.15980964369833131</c:v>
                </c:pt>
                <c:pt idx="8">
                  <c:v>0.14824328685049462</c:v>
                </c:pt>
                <c:pt idx="9">
                  <c:v>0.13823818257367307</c:v>
                </c:pt>
                <c:pt idx="10">
                  <c:v>0.12949820473354984</c:v>
                </c:pt>
                <c:pt idx="11">
                  <c:v>0.12179766312573198</c:v>
                </c:pt>
                <c:pt idx="12">
                  <c:v>0.1149615367204582</c:v>
                </c:pt>
                <c:pt idx="13">
                  <c:v>0.10885200982530177</c:v>
                </c:pt>
                <c:pt idx="14">
                  <c:v>0.10335908474676346</c:v>
                </c:pt>
                <c:pt idx="15">
                  <c:v>9.8393900157015657E-2</c:v>
                </c:pt>
                <c:pt idx="16">
                  <c:v>9.3883887029051427E-2</c:v>
                </c:pt>
                <c:pt idx="17">
                  <c:v>8.9769198389050647E-2</c:v>
                </c:pt>
                <c:pt idx="18">
                  <c:v>8.6000038497576314E-2</c:v>
                </c:pt>
                <c:pt idx="19">
                  <c:v>8.2534637760071597E-2</c:v>
                </c:pt>
                <c:pt idx="20">
                  <c:v>7.9337698282561209E-2</c:v>
                </c:pt>
                <c:pt idx="21">
                  <c:v>7.6379187219695319E-2</c:v>
                </c:pt>
                <c:pt idx="22">
                  <c:v>7.3633390394306913E-2</c:v>
                </c:pt>
                <c:pt idx="23">
                  <c:v>7.1078162964850825E-2</c:v>
                </c:pt>
                <c:pt idx="24">
                  <c:v>6.869433088033583E-2</c:v>
                </c:pt>
                <c:pt idx="25">
                  <c:v>6.6465208871509487E-2</c:v>
                </c:pt>
                <c:pt idx="26">
                  <c:v>6.4376209339179022E-2</c:v>
                </c:pt>
                <c:pt idx="27">
                  <c:v>6.2414522750799992E-2</c:v>
                </c:pt>
                <c:pt idx="28">
                  <c:v>6.0568854743270402E-2</c:v>
                </c:pt>
                <c:pt idx="29">
                  <c:v>5.8829208531002181E-2</c:v>
                </c:pt>
                <c:pt idx="30">
                  <c:v>5.7186703764843173E-2</c:v>
                </c:pt>
                <c:pt idx="31">
                  <c:v>5.5633424911421168E-2</c:v>
                </c:pt>
                <c:pt idx="32">
                  <c:v>5.4162293688588971E-2</c:v>
                </c:pt>
                <c:pt idx="33">
                  <c:v>5.078291756859768E-2</c:v>
                </c:pt>
                <c:pt idx="34">
                  <c:v>4.7710226535235913E-2</c:v>
                </c:pt>
                <c:pt idx="35">
                  <c:v>4.4908203095649128E-2</c:v>
                </c:pt>
                <c:pt idx="36">
                  <c:v>4.2345966023137262E-2</c:v>
                </c:pt>
                <c:pt idx="37">
                  <c:v>3.9996915837760882E-2</c:v>
                </c:pt>
                <c:pt idx="38">
                  <c:v>3.7838041662804335E-2</c:v>
                </c:pt>
                <c:pt idx="39">
                  <c:v>3.5849355544509458E-2</c:v>
                </c:pt>
                <c:pt idx="40">
                  <c:v>3.4013428134296447E-2</c:v>
                </c:pt>
                <c:pt idx="41">
                  <c:v>3.2315005495091004E-2</c:v>
                </c:pt>
                <c:pt idx="42">
                  <c:v>3.0740691228435892E-2</c:v>
                </c:pt>
                <c:pt idx="43">
                  <c:v>2.9278681499950242E-2</c:v>
                </c:pt>
                <c:pt idx="44">
                  <c:v>2.7918543136624313E-2</c:v>
                </c:pt>
                <c:pt idx="45">
                  <c:v>2.6651026976317844E-2</c:v>
                </c:pt>
                <c:pt idx="46">
                  <c:v>2.546791021142562E-2</c:v>
                </c:pt>
                <c:pt idx="47">
                  <c:v>2.4361862691299922E-2</c:v>
                </c:pt>
              </c:numCache>
            </c:numRef>
          </c:yVal>
          <c:smooth val="0"/>
        </c:ser>
        <c:ser>
          <c:idx val="1"/>
          <c:order val="2"/>
          <c:tx>
            <c:v>SLV-Se</c:v>
          </c:tx>
          <c:spPr>
            <a:ln w="12700">
              <a:solidFill>
                <a:srgbClr val="0000FF"/>
              </a:solidFill>
              <a:prstDash val="solid"/>
            </a:ln>
          </c:spPr>
          <c:marker>
            <c:symbol val="none"/>
          </c:marker>
          <c:xVal>
            <c:numRef>
              <c:f>'[1]val x spettri'!$E$5:$E$52</c:f>
              <c:numCache>
                <c:formatCode>General</c:formatCode>
                <c:ptCount val="48"/>
                <c:pt idx="0">
                  <c:v>0</c:v>
                </c:pt>
                <c:pt idx="1">
                  <c:v>0.16414729650081863</c:v>
                </c:pt>
                <c:pt idx="2">
                  <c:v>0.49244188950245588</c:v>
                </c:pt>
                <c:pt idx="3">
                  <c:v>0.55869382651904065</c:v>
                </c:pt>
                <c:pt idx="4">
                  <c:v>0.62494576353562548</c:v>
                </c:pt>
                <c:pt idx="5">
                  <c:v>0.6911977005522103</c:v>
                </c:pt>
                <c:pt idx="6">
                  <c:v>0.75744963756879513</c:v>
                </c:pt>
                <c:pt idx="7">
                  <c:v>0.82370157458537996</c:v>
                </c:pt>
                <c:pt idx="8">
                  <c:v>0.88995351160196468</c:v>
                </c:pt>
                <c:pt idx="9">
                  <c:v>0.95620544861854961</c:v>
                </c:pt>
                <c:pt idx="10">
                  <c:v>1.0224573856351342</c:v>
                </c:pt>
                <c:pt idx="11">
                  <c:v>1.088709322651719</c:v>
                </c:pt>
                <c:pt idx="12">
                  <c:v>1.1549612596683039</c:v>
                </c:pt>
                <c:pt idx="13">
                  <c:v>1.2212131966848887</c:v>
                </c:pt>
                <c:pt idx="14">
                  <c:v>1.2874651337014735</c:v>
                </c:pt>
                <c:pt idx="15">
                  <c:v>1.3537170707180584</c:v>
                </c:pt>
                <c:pt idx="16">
                  <c:v>1.4199690077346432</c:v>
                </c:pt>
                <c:pt idx="17">
                  <c:v>1.486220944751228</c:v>
                </c:pt>
                <c:pt idx="18">
                  <c:v>1.5524728817678126</c:v>
                </c:pt>
                <c:pt idx="19">
                  <c:v>1.6187248187843974</c:v>
                </c:pt>
                <c:pt idx="20">
                  <c:v>1.6849767558009823</c:v>
                </c:pt>
                <c:pt idx="21">
                  <c:v>1.7512286928175671</c:v>
                </c:pt>
                <c:pt idx="22">
                  <c:v>1.8174806298341519</c:v>
                </c:pt>
                <c:pt idx="23">
                  <c:v>1.8837325668507368</c:v>
                </c:pt>
                <c:pt idx="24">
                  <c:v>1.9499845038673216</c:v>
                </c:pt>
                <c:pt idx="25">
                  <c:v>2.0162364408839064</c:v>
                </c:pt>
                <c:pt idx="26">
                  <c:v>2.082488377900491</c:v>
                </c:pt>
                <c:pt idx="27">
                  <c:v>2.1487403149170761</c:v>
                </c:pt>
                <c:pt idx="28">
                  <c:v>2.2149922519336607</c:v>
                </c:pt>
                <c:pt idx="29">
                  <c:v>2.2812441889502457</c:v>
                </c:pt>
                <c:pt idx="30">
                  <c:v>2.3474961259668308</c:v>
                </c:pt>
                <c:pt idx="31">
                  <c:v>2.4137480629834154</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'[1]val x spettri'!$F$5:$F$52</c:f>
              <c:numCache>
                <c:formatCode>General</c:formatCode>
                <c:ptCount val="48"/>
                <c:pt idx="0">
                  <c:v>0.30023839999999996</c:v>
                </c:pt>
                <c:pt idx="1">
                  <c:v>0.76260553599999992</c:v>
                </c:pt>
                <c:pt idx="2">
                  <c:v>0.76260553599999992</c:v>
                </c:pt>
                <c:pt idx="3">
                  <c:v>0.67217301009513564</c:v>
                </c:pt>
                <c:pt idx="4">
                  <c:v>0.60091440410486952</c:v>
                </c:pt>
                <c:pt idx="5">
                  <c:v>0.54331620431151362</c:v>
                </c:pt>
                <c:pt idx="6">
                  <c:v>0.49579390162262088</c:v>
                </c:pt>
                <c:pt idx="7">
                  <c:v>0.45591622339911769</c:v>
                </c:pt>
                <c:pt idx="8">
                  <c:v>0.42197587424188332</c:v>
                </c:pt>
                <c:pt idx="9">
                  <c:v>0.39273872747265992</c:v>
                </c:pt>
                <c:pt idx="10">
                  <c:v>0.36729052610793583</c:v>
                </c:pt>
                <c:pt idx="11">
                  <c:v>0.34493955666530923</c:v>
                </c:pt>
                <c:pt idx="12">
                  <c:v>0.32515282045107297</c:v>
                </c:pt>
                <c:pt idx="13">
                  <c:v>0.30751298144526512</c:v>
                </c:pt>
                <c:pt idx="14">
                  <c:v>0.29168860675333041</c:v>
                </c:pt>
                <c:pt idx="15">
                  <c:v>0.27741314578656695</c:v>
                </c:pt>
                <c:pt idx="16">
                  <c:v>0.26446979409219046</c:v>
                </c:pt>
                <c:pt idx="17">
                  <c:v>0.25268040557437632</c:v>
                </c:pt>
                <c:pt idx="18">
                  <c:v>0.24189724374782257</c:v>
                </c:pt>
                <c:pt idx="19">
                  <c:v>0.23199675864294769</c:v>
                </c:pt>
                <c:pt idx="20">
                  <c:v>0.22287483183372123</c:v>
                </c:pt>
                <c:pt idx="21">
                  <c:v>0.2144431007972267</c:v>
                </c:pt>
                <c:pt idx="22">
                  <c:v>0.20662608719364542</c:v>
                </c:pt>
                <c:pt idx="23">
                  <c:v>0.19935893114631809</c:v>
                </c:pt>
                <c:pt idx="24">
                  <c:v>0.19258558739727555</c:v>
                </c:pt>
                <c:pt idx="25">
                  <c:v>0.18625737710019713</c:v>
                </c:pt>
                <c:pt idx="26">
                  <c:v>0.18033181605146884</c:v>
                </c:pt>
                <c:pt idx="27">
                  <c:v>0.17477165969558581</c:v>
                </c:pt>
                <c:pt idx="28">
                  <c:v>0.16954411951781423</c:v>
                </c:pt>
                <c:pt idx="29">
                  <c:v>0.1646202159820882</c:v>
                </c:pt>
                <c:pt idx="30">
                  <c:v>0.15997424103871738</c:v>
                </c:pt>
                <c:pt idx="31">
                  <c:v>0.15558330914979729</c:v>
                </c:pt>
                <c:pt idx="32">
                  <c:v>0.15142698027938434</c:v>
                </c:pt>
                <c:pt idx="33">
                  <c:v>0.14728067756459604</c:v>
                </c:pt>
                <c:pt idx="34">
                  <c:v>0.14330237045442951</c:v>
                </c:pt>
                <c:pt idx="35">
                  <c:v>0.13948310445656367</c:v>
                </c:pt>
                <c:pt idx="36">
                  <c:v>0.13581451383937299</c:v>
                </c:pt>
                <c:pt idx="37">
                  <c:v>0.13228877578206558</c:v>
                </c:pt>
                <c:pt idx="38">
                  <c:v>0.12889856863705385</c:v>
                </c:pt>
                <c:pt idx="39">
                  <c:v>0.12563703388838265</c:v>
                </c:pt>
                <c:pt idx="40">
                  <c:v>0.12249774143683381</c:v>
                </c:pt>
                <c:pt idx="41">
                  <c:v>0.11947465788334115</c:v>
                </c:pt>
                <c:pt idx="42">
                  <c:v>0.11656211751836908</c:v>
                </c:pt>
                <c:pt idx="43">
                  <c:v>0.11375479575659041</c:v>
                </c:pt>
                <c:pt idx="44">
                  <c:v>0.11104768478410941</c:v>
                </c:pt>
                <c:pt idx="45">
                  <c:v>0.10843607121010786</c:v>
                </c:pt>
                <c:pt idx="46">
                  <c:v>0.10591551553655956</c:v>
                </c:pt>
                <c:pt idx="47">
                  <c:v>0.10348183327892503</c:v>
                </c:pt>
              </c:numCache>
            </c:numRef>
          </c:yVal>
          <c:smooth val="0"/>
        </c:ser>
        <c:ser>
          <c:idx val="3"/>
          <c:order val="3"/>
          <c:tx>
            <c:v>SLV-Sd</c:v>
          </c:tx>
          <c:spPr>
            <a:ln w="25400">
              <a:solidFill>
                <a:srgbClr val="0000FF"/>
              </a:solidFill>
              <a:prstDash val="solid"/>
            </a:ln>
          </c:spPr>
          <c:marker>
            <c:symbol val="none"/>
          </c:marker>
          <c:xVal>
            <c:numRef>
              <c:f>'[1]val x spettri'!$E$5:$E$52</c:f>
              <c:numCache>
                <c:formatCode>General</c:formatCode>
                <c:ptCount val="48"/>
                <c:pt idx="0">
                  <c:v>0</c:v>
                </c:pt>
                <c:pt idx="1">
                  <c:v>0.16414729650081863</c:v>
                </c:pt>
                <c:pt idx="2">
                  <c:v>0.49244188950245588</c:v>
                </c:pt>
                <c:pt idx="3">
                  <c:v>0.55869382651904065</c:v>
                </c:pt>
                <c:pt idx="4">
                  <c:v>0.62494576353562548</c:v>
                </c:pt>
                <c:pt idx="5">
                  <c:v>0.6911977005522103</c:v>
                </c:pt>
                <c:pt idx="6">
                  <c:v>0.75744963756879513</c:v>
                </c:pt>
                <c:pt idx="7">
                  <c:v>0.82370157458537996</c:v>
                </c:pt>
                <c:pt idx="8">
                  <c:v>0.88995351160196468</c:v>
                </c:pt>
                <c:pt idx="9">
                  <c:v>0.95620544861854961</c:v>
                </c:pt>
                <c:pt idx="10">
                  <c:v>1.0224573856351342</c:v>
                </c:pt>
                <c:pt idx="11">
                  <c:v>1.088709322651719</c:v>
                </c:pt>
                <c:pt idx="12">
                  <c:v>1.1549612596683039</c:v>
                </c:pt>
                <c:pt idx="13">
                  <c:v>1.2212131966848887</c:v>
                </c:pt>
                <c:pt idx="14">
                  <c:v>1.2874651337014735</c:v>
                </c:pt>
                <c:pt idx="15">
                  <c:v>1.3537170707180584</c:v>
                </c:pt>
                <c:pt idx="16">
                  <c:v>1.4199690077346432</c:v>
                </c:pt>
                <c:pt idx="17">
                  <c:v>1.486220944751228</c:v>
                </c:pt>
                <c:pt idx="18">
                  <c:v>1.5524728817678126</c:v>
                </c:pt>
                <c:pt idx="19">
                  <c:v>1.6187248187843974</c:v>
                </c:pt>
                <c:pt idx="20">
                  <c:v>1.6849767558009823</c:v>
                </c:pt>
                <c:pt idx="21">
                  <c:v>1.7512286928175671</c:v>
                </c:pt>
                <c:pt idx="22">
                  <c:v>1.8174806298341519</c:v>
                </c:pt>
                <c:pt idx="23">
                  <c:v>1.8837325668507368</c:v>
                </c:pt>
                <c:pt idx="24">
                  <c:v>1.9499845038673216</c:v>
                </c:pt>
                <c:pt idx="25">
                  <c:v>2.0162364408839064</c:v>
                </c:pt>
                <c:pt idx="26">
                  <c:v>2.082488377900491</c:v>
                </c:pt>
                <c:pt idx="27">
                  <c:v>2.1487403149170761</c:v>
                </c:pt>
                <c:pt idx="28">
                  <c:v>2.2149922519336607</c:v>
                </c:pt>
                <c:pt idx="29">
                  <c:v>2.2812441889502457</c:v>
                </c:pt>
                <c:pt idx="30">
                  <c:v>2.3474961259668308</c:v>
                </c:pt>
                <c:pt idx="31">
                  <c:v>2.4137480629834154</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'[1]val x spettri'!$G$5:$G$52</c:f>
              <c:numCache>
                <c:formatCode>General</c:formatCode>
                <c:ptCount val="48"/>
                <c:pt idx="0">
                  <c:v>0.30023839999999996</c:v>
                </c:pt>
                <c:pt idx="1">
                  <c:v>0.13035992068376068</c:v>
                </c:pt>
                <c:pt idx="2">
                  <c:v>0.13035992068376068</c:v>
                </c:pt>
                <c:pt idx="3">
                  <c:v>0.11490136924703173</c:v>
                </c:pt>
                <c:pt idx="4">
                  <c:v>0.10272041095809735</c:v>
                </c:pt>
                <c:pt idx="5">
                  <c:v>9.2874564839574972E-2</c:v>
                </c:pt>
                <c:pt idx="6">
                  <c:v>8.4751094294465118E-2</c:v>
                </c:pt>
                <c:pt idx="7">
                  <c:v>7.7934397162242333E-2</c:v>
                </c:pt>
                <c:pt idx="8">
                  <c:v>7.213262807553561E-2</c:v>
                </c:pt>
                <c:pt idx="9">
                  <c:v>6.71348252090017E-2</c:v>
                </c:pt>
                <c:pt idx="10">
                  <c:v>6.2784705317595862E-2</c:v>
                </c:pt>
                <c:pt idx="11">
                  <c:v>5.8964026780394745E-2</c:v>
                </c:pt>
                <c:pt idx="12">
                  <c:v>5.5581678709585122E-2</c:v>
                </c:pt>
                <c:pt idx="13">
                  <c:v>5.2566321614575237E-2</c:v>
                </c:pt>
                <c:pt idx="14">
                  <c:v>4.9861300299714605E-2</c:v>
                </c:pt>
                <c:pt idx="15">
                  <c:v>4.7421050561806316E-2</c:v>
                </c:pt>
                <c:pt idx="16">
                  <c:v>4.5208511810630847E-2</c:v>
                </c:pt>
                <c:pt idx="17">
                  <c:v>4.4000000000000004E-2</c:v>
                </c:pt>
                <c:pt idx="18">
                  <c:v>4.4000000000000004E-2</c:v>
                </c:pt>
                <c:pt idx="19">
                  <c:v>4.4000000000000004E-2</c:v>
                </c:pt>
                <c:pt idx="20">
                  <c:v>4.4000000000000004E-2</c:v>
                </c:pt>
                <c:pt idx="21">
                  <c:v>4.4000000000000004E-2</c:v>
                </c:pt>
                <c:pt idx="22">
                  <c:v>4.4000000000000004E-2</c:v>
                </c:pt>
                <c:pt idx="23">
                  <c:v>4.4000000000000004E-2</c:v>
                </c:pt>
                <c:pt idx="24">
                  <c:v>4.4000000000000004E-2</c:v>
                </c:pt>
                <c:pt idx="25">
                  <c:v>4.4000000000000004E-2</c:v>
                </c:pt>
                <c:pt idx="26">
                  <c:v>4.4000000000000004E-2</c:v>
                </c:pt>
                <c:pt idx="27">
                  <c:v>4.4000000000000004E-2</c:v>
                </c:pt>
                <c:pt idx="28">
                  <c:v>4.4000000000000004E-2</c:v>
                </c:pt>
                <c:pt idx="29">
                  <c:v>4.4000000000000004E-2</c:v>
                </c:pt>
                <c:pt idx="30">
                  <c:v>4.4000000000000004E-2</c:v>
                </c:pt>
                <c:pt idx="31">
                  <c:v>4.4000000000000004E-2</c:v>
                </c:pt>
                <c:pt idx="32">
                  <c:v>4.4000000000000004E-2</c:v>
                </c:pt>
                <c:pt idx="33">
                  <c:v>4.4000000000000004E-2</c:v>
                </c:pt>
                <c:pt idx="34">
                  <c:v>4.4000000000000004E-2</c:v>
                </c:pt>
                <c:pt idx="35">
                  <c:v>4.4000000000000004E-2</c:v>
                </c:pt>
                <c:pt idx="36">
                  <c:v>4.4000000000000004E-2</c:v>
                </c:pt>
                <c:pt idx="37">
                  <c:v>4.4000000000000004E-2</c:v>
                </c:pt>
                <c:pt idx="38">
                  <c:v>4.4000000000000004E-2</c:v>
                </c:pt>
                <c:pt idx="39">
                  <c:v>4.4000000000000004E-2</c:v>
                </c:pt>
                <c:pt idx="40">
                  <c:v>4.4000000000000004E-2</c:v>
                </c:pt>
                <c:pt idx="41">
                  <c:v>4.4000000000000004E-2</c:v>
                </c:pt>
                <c:pt idx="42">
                  <c:v>4.4000000000000004E-2</c:v>
                </c:pt>
                <c:pt idx="43">
                  <c:v>4.4000000000000004E-2</c:v>
                </c:pt>
                <c:pt idx="44">
                  <c:v>4.4000000000000004E-2</c:v>
                </c:pt>
                <c:pt idx="45">
                  <c:v>4.4000000000000004E-2</c:v>
                </c:pt>
                <c:pt idx="46">
                  <c:v>4.4000000000000004E-2</c:v>
                </c:pt>
                <c:pt idx="47">
                  <c:v>4.4000000000000004E-2</c:v>
                </c:pt>
              </c:numCache>
            </c:numRef>
          </c:yVal>
          <c:smooth val="0"/>
        </c:ser>
        <c:ser>
          <c:idx val="2"/>
          <c:order val="4"/>
          <c:tx>
            <c:v>SLV-v-Se</c:v>
          </c:tx>
          <c:spPr>
            <a:ln w="12700">
              <a:solidFill>
                <a:srgbClr val="99CC00"/>
              </a:solidFill>
              <a:prstDash val="solid"/>
            </a:ln>
          </c:spPr>
          <c:marker>
            <c:symbol val="none"/>
          </c:marker>
          <c:xVal>
            <c:numRef>
              <c:f>'[1]val x spettri'!$I$5:$I$52</c:f>
              <c:numCache>
                <c:formatCode>General</c:formatCode>
                <c:ptCount val="48"/>
                <c:pt idx="0">
                  <c:v>0</c:v>
                </c:pt>
                <c:pt idx="1">
                  <c:v>0.05</c:v>
                </c:pt>
                <c:pt idx="2">
                  <c:v>0.15</c:v>
                </c:pt>
                <c:pt idx="3">
                  <c:v>0.17833333333333332</c:v>
                </c:pt>
                <c:pt idx="4">
                  <c:v>0.20666666666666667</c:v>
                </c:pt>
                <c:pt idx="5">
                  <c:v>0.23499999999999999</c:v>
                </c:pt>
                <c:pt idx="6">
                  <c:v>0.26333333333333331</c:v>
                </c:pt>
                <c:pt idx="7">
                  <c:v>0.29166666666666663</c:v>
                </c:pt>
                <c:pt idx="8">
                  <c:v>0.31999999999999995</c:v>
                </c:pt>
                <c:pt idx="9">
                  <c:v>0.34833333333333333</c:v>
                </c:pt>
                <c:pt idx="10">
                  <c:v>0.37666666666666665</c:v>
                </c:pt>
                <c:pt idx="11">
                  <c:v>0.40500000000000003</c:v>
                </c:pt>
                <c:pt idx="12">
                  <c:v>0.43333333333333335</c:v>
                </c:pt>
                <c:pt idx="13">
                  <c:v>0.46166666666666667</c:v>
                </c:pt>
                <c:pt idx="14">
                  <c:v>0.49</c:v>
                </c:pt>
                <c:pt idx="15">
                  <c:v>0.51833333333333331</c:v>
                </c:pt>
                <c:pt idx="16">
                  <c:v>0.54666666666666663</c:v>
                </c:pt>
                <c:pt idx="17">
                  <c:v>0.57499999999999996</c:v>
                </c:pt>
                <c:pt idx="18">
                  <c:v>0.60333333333333328</c:v>
                </c:pt>
                <c:pt idx="19">
                  <c:v>0.6316666666666666</c:v>
                </c:pt>
                <c:pt idx="20">
                  <c:v>0.66</c:v>
                </c:pt>
                <c:pt idx="21">
                  <c:v>0.68833333333333335</c:v>
                </c:pt>
                <c:pt idx="22">
                  <c:v>0.71666666666666667</c:v>
                </c:pt>
                <c:pt idx="23">
                  <c:v>0.745</c:v>
                </c:pt>
                <c:pt idx="24">
                  <c:v>0.77333333333333332</c:v>
                </c:pt>
                <c:pt idx="25">
                  <c:v>0.80166666666666675</c:v>
                </c:pt>
                <c:pt idx="26">
                  <c:v>0.83</c:v>
                </c:pt>
                <c:pt idx="27">
                  <c:v>0.85833333333333339</c:v>
                </c:pt>
                <c:pt idx="28">
                  <c:v>0.8866666666666666</c:v>
                </c:pt>
                <c:pt idx="29">
                  <c:v>0.91500000000000004</c:v>
                </c:pt>
                <c:pt idx="30">
                  <c:v>0.94333333333333336</c:v>
                </c:pt>
                <c:pt idx="31">
                  <c:v>0.97166666666666668</c:v>
                </c:pt>
                <c:pt idx="32">
                  <c:v>1</c:v>
                </c:pt>
                <c:pt idx="33">
                  <c:v>1.1333333333333333</c:v>
                </c:pt>
                <c:pt idx="34">
                  <c:v>1.2666666666666666</c:v>
                </c:pt>
                <c:pt idx="35">
                  <c:v>1.4</c:v>
                </c:pt>
                <c:pt idx="36">
                  <c:v>1.5333333333333332</c:v>
                </c:pt>
                <c:pt idx="37">
                  <c:v>1.6666666666666665</c:v>
                </c:pt>
                <c:pt idx="38">
                  <c:v>1.8</c:v>
                </c:pt>
                <c:pt idx="39">
                  <c:v>1.9333333333333333</c:v>
                </c:pt>
                <c:pt idx="40">
                  <c:v>2.0666666666666664</c:v>
                </c:pt>
                <c:pt idx="41">
                  <c:v>2.2000000000000002</c:v>
                </c:pt>
                <c:pt idx="42">
                  <c:v>2.333333333333333</c:v>
                </c:pt>
                <c:pt idx="43">
                  <c:v>2.4666666666666668</c:v>
                </c:pt>
                <c:pt idx="44">
                  <c:v>2.6</c:v>
                </c:pt>
                <c:pt idx="45">
                  <c:v>2.7333333333333334</c:v>
                </c:pt>
                <c:pt idx="46">
                  <c:v>2.8666666666666667</c:v>
                </c:pt>
                <c:pt idx="47">
                  <c:v>3</c:v>
                </c:pt>
              </c:numCache>
            </c:numRef>
          </c:xVal>
          <c:yVal>
            <c:numRef>
              <c:f>'[1]val x spettri'!$J$5:$J$52</c:f>
              <c:numCache>
                <c:formatCode>General</c:formatCode>
                <c:ptCount val="48"/>
                <c:pt idx="0">
                  <c:v>0.22</c:v>
                </c:pt>
                <c:pt idx="1">
                  <c:v>0.35383558408955995</c:v>
                </c:pt>
                <c:pt idx="2">
                  <c:v>0.35383558408955995</c:v>
                </c:pt>
                <c:pt idx="3">
                  <c:v>0.29761871558934949</c:v>
                </c:pt>
                <c:pt idx="4">
                  <c:v>0.25681614974242256</c:v>
                </c:pt>
                <c:pt idx="5">
                  <c:v>0.22585250048269784</c:v>
                </c:pt>
                <c:pt idx="6">
                  <c:v>0.20155191498772404</c:v>
                </c:pt>
                <c:pt idx="7">
                  <c:v>0.18197258610320227</c:v>
                </c:pt>
                <c:pt idx="8">
                  <c:v>0.16586043004198125</c:v>
                </c:pt>
                <c:pt idx="9">
                  <c:v>0.15236939027780094</c:v>
                </c:pt>
                <c:pt idx="10">
                  <c:v>0.14090797596486901</c:v>
                </c:pt>
                <c:pt idx="11">
                  <c:v>0.13105021632946665</c:v>
                </c:pt>
                <c:pt idx="12">
                  <c:v>0.12248154833869382</c:v>
                </c:pt>
                <c:pt idx="13">
                  <c:v>0.11496463020960432</c:v>
                </c:pt>
                <c:pt idx="14">
                  <c:v>0.1083170155376204</c:v>
                </c:pt>
                <c:pt idx="15">
                  <c:v>0.10239614973652861</c:v>
                </c:pt>
                <c:pt idx="16">
                  <c:v>9.7089032219696336E-2</c:v>
                </c:pt>
                <c:pt idx="17">
                  <c:v>9.2304934979885206E-2</c:v>
                </c:pt>
                <c:pt idx="18">
                  <c:v>8.7970172839945848E-2</c:v>
                </c:pt>
                <c:pt idx="19">
                  <c:v>8.4024281182217414E-2</c:v>
                </c:pt>
                <c:pt idx="20">
                  <c:v>8.0417178202172715E-2</c:v>
                </c:pt>
                <c:pt idx="21">
                  <c:v>7.7107028009831463E-2</c:v>
                </c:pt>
                <c:pt idx="22">
                  <c:v>7.4058610623396262E-2</c:v>
                </c:pt>
                <c:pt idx="23">
                  <c:v>7.1242063910649647E-2</c:v>
                </c:pt>
                <c:pt idx="24">
                  <c:v>6.8631902086337057E-2</c:v>
                </c:pt>
                <c:pt idx="25">
                  <c:v>6.6206242345239905E-2</c:v>
                </c:pt>
                <c:pt idx="26">
                  <c:v>6.3946189895703609E-2</c:v>
                </c:pt>
                <c:pt idx="27">
                  <c:v>6.1835344792350276E-2</c:v>
                </c:pt>
                <c:pt idx="28">
                  <c:v>5.9859403323421802E-2</c:v>
                </c:pt>
                <c:pt idx="29">
                  <c:v>5.8005833457304909E-2</c:v>
                </c:pt>
                <c:pt idx="30">
                  <c:v>5.6263608777491862E-2</c:v>
                </c:pt>
                <c:pt idx="31">
                  <c:v>5.4622988967513539E-2</c:v>
                </c:pt>
                <c:pt idx="32">
                  <c:v>5.3075337613433991E-2</c:v>
                </c:pt>
                <c:pt idx="33">
                  <c:v>4.1321629629836161E-2</c:v>
                </c:pt>
                <c:pt idx="34">
                  <c:v>3.3080196573469944E-2</c:v>
                </c:pt>
                <c:pt idx="35">
                  <c:v>2.7079253884405102E-2</c:v>
                </c:pt>
                <c:pt idx="36">
                  <c:v>2.257457648964584E-2</c:v>
                </c:pt>
                <c:pt idx="37">
                  <c:v>1.9107121540836242E-2</c:v>
                </c:pt>
                <c:pt idx="38">
                  <c:v>1.6381277041183331E-2</c:v>
                </c:pt>
                <c:pt idx="39">
                  <c:v>1.4199703879931806E-2</c:v>
                </c:pt>
                <c:pt idx="40">
                  <c:v>1.2426587890762385E-2</c:v>
                </c:pt>
                <c:pt idx="41">
                  <c:v>1.0965978845750823E-2</c:v>
                </c:pt>
                <c:pt idx="42">
                  <c:v>9.7485313983858377E-3</c:v>
                </c:pt>
                <c:pt idx="43">
                  <c:v>8.7231197684606628E-3</c:v>
                </c:pt>
                <c:pt idx="44">
                  <c:v>7.8513813037624242E-3</c:v>
                </c:pt>
                <c:pt idx="45">
                  <c:v>7.1040755282704626E-3</c:v>
                </c:pt>
                <c:pt idx="46">
                  <c:v>6.4585997636682786E-3</c:v>
                </c:pt>
                <c:pt idx="47">
                  <c:v>5.8972597348259988E-3</c:v>
                </c:pt>
              </c:numCache>
            </c:numRef>
          </c:yVal>
          <c:smooth val="0"/>
        </c:ser>
        <c:ser>
          <c:idx val="4"/>
          <c:order val="5"/>
          <c:tx>
            <c:v>SLV-v-Sd</c:v>
          </c:tx>
          <c:spPr>
            <a:ln w="25400">
              <a:solidFill>
                <a:srgbClr val="99CC00"/>
              </a:solidFill>
              <a:prstDash val="solid"/>
            </a:ln>
          </c:spPr>
          <c:marker>
            <c:symbol val="none"/>
          </c:marker>
          <c:xVal>
            <c:numRef>
              <c:f>'[1]val x spettri'!$I$5:$I$52</c:f>
              <c:numCache>
                <c:formatCode>General</c:formatCode>
                <c:ptCount val="48"/>
                <c:pt idx="0">
                  <c:v>0</c:v>
                </c:pt>
                <c:pt idx="1">
                  <c:v>0.05</c:v>
                </c:pt>
                <c:pt idx="2">
                  <c:v>0.15</c:v>
                </c:pt>
                <c:pt idx="3">
                  <c:v>0.17833333333333332</c:v>
                </c:pt>
                <c:pt idx="4">
                  <c:v>0.20666666666666667</c:v>
                </c:pt>
                <c:pt idx="5">
                  <c:v>0.23499999999999999</c:v>
                </c:pt>
                <c:pt idx="6">
                  <c:v>0.26333333333333331</c:v>
                </c:pt>
                <c:pt idx="7">
                  <c:v>0.29166666666666663</c:v>
                </c:pt>
                <c:pt idx="8">
                  <c:v>0.31999999999999995</c:v>
                </c:pt>
                <c:pt idx="9">
                  <c:v>0.34833333333333333</c:v>
                </c:pt>
                <c:pt idx="10">
                  <c:v>0.37666666666666665</c:v>
                </c:pt>
                <c:pt idx="11">
                  <c:v>0.40500000000000003</c:v>
                </c:pt>
                <c:pt idx="12">
                  <c:v>0.43333333333333335</c:v>
                </c:pt>
                <c:pt idx="13">
                  <c:v>0.46166666666666667</c:v>
                </c:pt>
                <c:pt idx="14">
                  <c:v>0.49</c:v>
                </c:pt>
                <c:pt idx="15">
                  <c:v>0.51833333333333331</c:v>
                </c:pt>
                <c:pt idx="16">
                  <c:v>0.54666666666666663</c:v>
                </c:pt>
                <c:pt idx="17">
                  <c:v>0.57499999999999996</c:v>
                </c:pt>
                <c:pt idx="18">
                  <c:v>0.60333333333333328</c:v>
                </c:pt>
                <c:pt idx="19">
                  <c:v>0.6316666666666666</c:v>
                </c:pt>
                <c:pt idx="20">
                  <c:v>0.66</c:v>
                </c:pt>
                <c:pt idx="21">
                  <c:v>0.68833333333333335</c:v>
                </c:pt>
                <c:pt idx="22">
                  <c:v>0.71666666666666667</c:v>
                </c:pt>
                <c:pt idx="23">
                  <c:v>0.745</c:v>
                </c:pt>
                <c:pt idx="24">
                  <c:v>0.77333333333333332</c:v>
                </c:pt>
                <c:pt idx="25">
                  <c:v>0.80166666666666675</c:v>
                </c:pt>
                <c:pt idx="26">
                  <c:v>0.83</c:v>
                </c:pt>
                <c:pt idx="27">
                  <c:v>0.85833333333333339</c:v>
                </c:pt>
                <c:pt idx="28">
                  <c:v>0.8866666666666666</c:v>
                </c:pt>
                <c:pt idx="29">
                  <c:v>0.91500000000000004</c:v>
                </c:pt>
                <c:pt idx="30">
                  <c:v>0.94333333333333336</c:v>
                </c:pt>
                <c:pt idx="31">
                  <c:v>0.97166666666666668</c:v>
                </c:pt>
                <c:pt idx="32">
                  <c:v>1</c:v>
                </c:pt>
                <c:pt idx="33">
                  <c:v>1.1333333333333333</c:v>
                </c:pt>
                <c:pt idx="34">
                  <c:v>1.2666666666666666</c:v>
                </c:pt>
                <c:pt idx="35">
                  <c:v>1.4</c:v>
                </c:pt>
                <c:pt idx="36">
                  <c:v>1.5333333333333332</c:v>
                </c:pt>
                <c:pt idx="37">
                  <c:v>1.6666666666666665</c:v>
                </c:pt>
                <c:pt idx="38">
                  <c:v>1.8</c:v>
                </c:pt>
                <c:pt idx="39">
                  <c:v>1.9333333333333333</c:v>
                </c:pt>
                <c:pt idx="40">
                  <c:v>2.0666666666666664</c:v>
                </c:pt>
                <c:pt idx="41">
                  <c:v>2.2000000000000002</c:v>
                </c:pt>
                <c:pt idx="42">
                  <c:v>2.333333333333333</c:v>
                </c:pt>
                <c:pt idx="43">
                  <c:v>2.4666666666666668</c:v>
                </c:pt>
                <c:pt idx="44">
                  <c:v>2.6</c:v>
                </c:pt>
                <c:pt idx="45">
                  <c:v>2.7333333333333334</c:v>
                </c:pt>
                <c:pt idx="46">
                  <c:v>2.8666666666666667</c:v>
                </c:pt>
                <c:pt idx="47">
                  <c:v>3</c:v>
                </c:pt>
              </c:numCache>
            </c:numRef>
          </c:xVal>
          <c:yVal>
            <c:numRef>
              <c:f>'[1]val x spettri'!$K$5:$K$52</c:f>
              <c:numCache>
                <c:formatCode>General</c:formatCode>
                <c:ptCount val="48"/>
                <c:pt idx="0">
                  <c:v>0.22000000000000006</c:v>
                </c:pt>
                <c:pt idx="1">
                  <c:v>0.23589038939303997</c:v>
                </c:pt>
                <c:pt idx="2">
                  <c:v>0.23589038939304</c:v>
                </c:pt>
                <c:pt idx="3">
                  <c:v>0.19841247705956636</c:v>
                </c:pt>
                <c:pt idx="4">
                  <c:v>0.17121076649494837</c:v>
                </c:pt>
                <c:pt idx="5">
                  <c:v>0.15056833365513192</c:v>
                </c:pt>
                <c:pt idx="6">
                  <c:v>0.13436794332514937</c:v>
                </c:pt>
                <c:pt idx="7">
                  <c:v>0.12131505740213486</c:v>
                </c:pt>
                <c:pt idx="8">
                  <c:v>0.11057362002798751</c:v>
                </c:pt>
                <c:pt idx="9">
                  <c:v>0.10157959351853396</c:v>
                </c:pt>
                <c:pt idx="10">
                  <c:v>9.3938650643246011E-2</c:v>
                </c:pt>
                <c:pt idx="11">
                  <c:v>8.7366810886311097E-2</c:v>
                </c:pt>
                <c:pt idx="12">
                  <c:v>8.1654365559129222E-2</c:v>
                </c:pt>
                <c:pt idx="13">
                  <c:v>7.6643086806402874E-2</c:v>
                </c:pt>
                <c:pt idx="14">
                  <c:v>7.2211343691746935E-2</c:v>
                </c:pt>
                <c:pt idx="15">
                  <c:v>6.8264099824352414E-2</c:v>
                </c:pt>
                <c:pt idx="16">
                  <c:v>6.4726021479797557E-2</c:v>
                </c:pt>
                <c:pt idx="17">
                  <c:v>6.1536623319923475E-2</c:v>
                </c:pt>
                <c:pt idx="18">
                  <c:v>5.8646781893297237E-2</c:v>
                </c:pt>
                <c:pt idx="19">
                  <c:v>5.6016187454811607E-2</c:v>
                </c:pt>
                <c:pt idx="20">
                  <c:v>5.3611452134781808E-2</c:v>
                </c:pt>
                <c:pt idx="21">
                  <c:v>5.1404685339887644E-2</c:v>
                </c:pt>
                <c:pt idx="22">
                  <c:v>4.9372407082264182E-2</c:v>
                </c:pt>
                <c:pt idx="23">
                  <c:v>4.7494709273766436E-2</c:v>
                </c:pt>
                <c:pt idx="24">
                  <c:v>4.5754601390891374E-2</c:v>
                </c:pt>
                <c:pt idx="25">
                  <c:v>4.4137494896826605E-2</c:v>
                </c:pt>
                <c:pt idx="26">
                  <c:v>4.2630793263802411E-2</c:v>
                </c:pt>
                <c:pt idx="27">
                  <c:v>4.1223563194900184E-2</c:v>
                </c:pt>
                <c:pt idx="28">
                  <c:v>3.9906268882281201E-2</c:v>
                </c:pt>
                <c:pt idx="29">
                  <c:v>3.867055563820327E-2</c:v>
                </c:pt>
                <c:pt idx="30">
                  <c:v>3.7509072518327913E-2</c:v>
                </c:pt>
                <c:pt idx="31">
                  <c:v>3.6415325978342364E-2</c:v>
                </c:pt>
                <c:pt idx="32">
                  <c:v>3.5383558408955997E-2</c:v>
                </c:pt>
                <c:pt idx="33">
                  <c:v>2.754775308655744E-2</c:v>
                </c:pt>
                <c:pt idx="34">
                  <c:v>2.2053464382313297E-2</c:v>
                </c:pt>
                <c:pt idx="35">
                  <c:v>1.8052835922936734E-2</c:v>
                </c:pt>
                <c:pt idx="36">
                  <c:v>1.5049717659763893E-2</c:v>
                </c:pt>
                <c:pt idx="37">
                  <c:v>1.273808102722416E-2</c:v>
                </c:pt>
                <c:pt idx="38">
                  <c:v>1.0920851360788887E-2</c:v>
                </c:pt>
                <c:pt idx="39">
                  <c:v>9.4664692532878715E-3</c:v>
                </c:pt>
                <c:pt idx="40">
                  <c:v>8.284391927174924E-3</c:v>
                </c:pt>
                <c:pt idx="41">
                  <c:v>7.3106525638338823E-3</c:v>
                </c:pt>
                <c:pt idx="42">
                  <c:v>6.4990209322572257E-3</c:v>
                </c:pt>
                <c:pt idx="43">
                  <c:v>5.8154131789737752E-3</c:v>
                </c:pt>
                <c:pt idx="44">
                  <c:v>5.2342542025082834E-3</c:v>
                </c:pt>
                <c:pt idx="45">
                  <c:v>4.7360503521803087E-3</c:v>
                </c:pt>
                <c:pt idx="46">
                  <c:v>4.3057331757788532E-3</c:v>
                </c:pt>
                <c:pt idx="47">
                  <c:v>3.9315064898839992E-3</c:v>
                </c:pt>
              </c:numCache>
            </c:numRef>
          </c:yVal>
          <c:smooth val="0"/>
        </c:ser>
        <c:dLbls>
          <c:showLegendKey val="0"/>
          <c:showVal val="0"/>
          <c:showCatName val="0"/>
          <c:showSerName val="0"/>
          <c:showPercent val="0"/>
          <c:showBubbleSize val="0"/>
        </c:dLbls>
        <c:axId val="83382752"/>
        <c:axId val="83383312"/>
      </c:scatterChart>
      <c:valAx>
        <c:axId val="83382752"/>
        <c:scaling>
          <c:orientation val="minMax"/>
          <c:max val="3"/>
          <c:min val="0"/>
        </c:scaling>
        <c:delete val="0"/>
        <c:axPos val="b"/>
        <c:numFmt formatCode="0.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it-IT"/>
          </a:p>
        </c:txPr>
        <c:crossAx val="83383312"/>
        <c:crosses val="autoZero"/>
        <c:crossBetween val="midCat"/>
        <c:majorUnit val="0.5"/>
      </c:valAx>
      <c:valAx>
        <c:axId val="83383312"/>
        <c:scaling>
          <c:orientation val="minMax"/>
          <c:max val="1"/>
          <c:min val="0"/>
        </c:scaling>
        <c:delete val="0"/>
        <c:axPos val="l"/>
        <c:numFmt formatCode="0.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it-IT"/>
          </a:p>
        </c:txPr>
        <c:crossAx val="83382752"/>
        <c:crosses val="autoZero"/>
        <c:crossBetween val="midCat"/>
        <c:majorUnit val="0.1"/>
      </c:valAx>
      <c:spPr>
        <a:noFill/>
        <a:ln w="25400">
          <a:noFill/>
        </a:ln>
      </c:spPr>
    </c:plotArea>
    <c:legend>
      <c:legendPos val="r"/>
      <c:layout>
        <c:manualLayout>
          <c:xMode val="edge"/>
          <c:yMode val="edge"/>
          <c:x val="0.84901758014477768"/>
          <c:y val="0.16271186440677965"/>
          <c:w val="0.1147880041365047"/>
          <c:h val="0.17966101694915254"/>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3433298862461223E-2"/>
          <c:y val="2.2033898305084745E-2"/>
          <c:w val="0.93898655635987593"/>
          <c:h val="0.91694915254237286"/>
        </c:manualLayout>
      </c:layout>
      <c:scatterChart>
        <c:scatterStyle val="lineMarker"/>
        <c:varyColors val="0"/>
        <c:ser>
          <c:idx val="0"/>
          <c:order val="0"/>
          <c:tx>
            <c:strRef>
              <c:f>[1]Se!$N$9</c:f>
              <c:strCache>
                <c:ptCount val="1"/>
                <c:pt idx="0">
                  <c:v>A</c:v>
                </c:pt>
              </c:strCache>
            </c:strRef>
          </c:tx>
          <c:spPr>
            <a:ln w="12700">
              <a:solidFill>
                <a:srgbClr val="339966"/>
              </a:solidFill>
              <a:prstDash val="solid"/>
            </a:ln>
          </c:spPr>
          <c:marker>
            <c:symbol val="none"/>
          </c:marker>
          <c:xVal>
            <c:numRef>
              <c:f>[1]T!$N$25:$N$72</c:f>
              <c:numCache>
                <c:formatCode>General</c:formatCode>
                <c:ptCount val="48"/>
                <c:pt idx="0">
                  <c:v>0</c:v>
                </c:pt>
                <c:pt idx="1">
                  <c:v>0.10766666666666667</c:v>
                </c:pt>
                <c:pt idx="2">
                  <c:v>0.32300000000000001</c:v>
                </c:pt>
                <c:pt idx="3">
                  <c:v>0.39490000000000003</c:v>
                </c:pt>
                <c:pt idx="4">
                  <c:v>0.46679999999999999</c:v>
                </c:pt>
                <c:pt idx="5">
                  <c:v>0.53869999999999996</c:v>
                </c:pt>
                <c:pt idx="6">
                  <c:v>0.61060000000000003</c:v>
                </c:pt>
                <c:pt idx="7">
                  <c:v>0.6825</c:v>
                </c:pt>
                <c:pt idx="8">
                  <c:v>0.75439999999999996</c:v>
                </c:pt>
                <c:pt idx="9">
                  <c:v>0.82630000000000003</c:v>
                </c:pt>
                <c:pt idx="10">
                  <c:v>0.89820000000000011</c:v>
                </c:pt>
                <c:pt idx="11">
                  <c:v>0.97009999999999996</c:v>
                </c:pt>
                <c:pt idx="12">
                  <c:v>1.042</c:v>
                </c:pt>
                <c:pt idx="13">
                  <c:v>1.1139000000000001</c:v>
                </c:pt>
                <c:pt idx="14">
                  <c:v>1.1858</c:v>
                </c:pt>
                <c:pt idx="15">
                  <c:v>1.2577</c:v>
                </c:pt>
                <c:pt idx="16">
                  <c:v>1.3295999999999999</c:v>
                </c:pt>
                <c:pt idx="17">
                  <c:v>1.4015000000000002</c:v>
                </c:pt>
                <c:pt idx="18">
                  <c:v>1.4734</c:v>
                </c:pt>
                <c:pt idx="19">
                  <c:v>1.5452999999999999</c:v>
                </c:pt>
                <c:pt idx="20">
                  <c:v>1.6172</c:v>
                </c:pt>
                <c:pt idx="21">
                  <c:v>1.6891</c:v>
                </c:pt>
                <c:pt idx="22">
                  <c:v>1.7609999999999999</c:v>
                </c:pt>
                <c:pt idx="23">
                  <c:v>1.8328999999999998</c:v>
                </c:pt>
                <c:pt idx="24">
                  <c:v>1.9048</c:v>
                </c:pt>
                <c:pt idx="25">
                  <c:v>1.9767000000000001</c:v>
                </c:pt>
                <c:pt idx="26">
                  <c:v>2.0486</c:v>
                </c:pt>
                <c:pt idx="27">
                  <c:v>2.1204999999999998</c:v>
                </c:pt>
                <c:pt idx="28">
                  <c:v>2.1924000000000001</c:v>
                </c:pt>
                <c:pt idx="29">
                  <c:v>2.2643000000000004</c:v>
                </c:pt>
                <c:pt idx="30">
                  <c:v>2.3361999999999998</c:v>
                </c:pt>
                <c:pt idx="31">
                  <c:v>2.4080999999999997</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[1]Se!$N$25:$N$72</c:f>
              <c:numCache>
                <c:formatCode>General</c:formatCode>
                <c:ptCount val="48"/>
                <c:pt idx="0">
                  <c:v>0.21999999999999997</c:v>
                </c:pt>
                <c:pt idx="1">
                  <c:v>0.55879999999999996</c:v>
                </c:pt>
                <c:pt idx="2">
                  <c:v>0.55879999999999996</c:v>
                </c:pt>
                <c:pt idx="3">
                  <c:v>0.45705849582172697</c:v>
                </c:pt>
                <c:pt idx="4">
                  <c:v>0.38665895458440447</c:v>
                </c:pt>
                <c:pt idx="5">
                  <c:v>0.33505179134954521</c:v>
                </c:pt>
                <c:pt idx="6">
                  <c:v>0.29559842777595807</c:v>
                </c:pt>
                <c:pt idx="7">
                  <c:v>0.26445772893772895</c:v>
                </c:pt>
                <c:pt idx="8">
                  <c:v>0.23925291622481443</c:v>
                </c:pt>
                <c:pt idx="9">
                  <c:v>0.21843446690064139</c:v>
                </c:pt>
                <c:pt idx="10">
                  <c:v>0.20094900912936983</c:v>
                </c:pt>
                <c:pt idx="11">
                  <c:v>0.18605545820018554</c:v>
                </c:pt>
                <c:pt idx="12">
                  <c:v>0.17321727447216889</c:v>
                </c:pt>
                <c:pt idx="13">
                  <c:v>0.16203644851422927</c:v>
                </c:pt>
                <c:pt idx="14">
                  <c:v>0.15221150278293136</c:v>
                </c:pt>
                <c:pt idx="15">
                  <c:v>0.14350989902202432</c:v>
                </c:pt>
                <c:pt idx="16">
                  <c:v>0.13574939831528279</c:v>
                </c:pt>
                <c:pt idx="17">
                  <c:v>0.12878515875847305</c:v>
                </c:pt>
                <c:pt idx="18">
                  <c:v>0.12250061083208905</c:v>
                </c:pt>
                <c:pt idx="19">
                  <c:v>0.1168008800880088</c:v>
                </c:pt>
                <c:pt idx="20">
                  <c:v>0.11160796438288399</c:v>
                </c:pt>
                <c:pt idx="21">
                  <c:v>0.10685714285714286</c:v>
                </c:pt>
                <c:pt idx="22">
                  <c:v>0.10249426462237365</c:v>
                </c:pt>
                <c:pt idx="23">
                  <c:v>9.8473675596049984E-2</c:v>
                </c:pt>
                <c:pt idx="24">
                  <c:v>9.4756614867702649E-2</c:v>
                </c:pt>
                <c:pt idx="25">
                  <c:v>9.130996104618809E-2</c:v>
                </c:pt>
                <c:pt idx="26">
                  <c:v>8.8105242604705647E-2</c:v>
                </c:pt>
                <c:pt idx="27">
                  <c:v>8.5117849563782128E-2</c:v>
                </c:pt>
                <c:pt idx="28">
                  <c:v>8.2326400291917526E-2</c:v>
                </c:pt>
                <c:pt idx="29">
                  <c:v>7.9712228944927771E-2</c:v>
                </c:pt>
                <c:pt idx="30">
                  <c:v>7.7258967554147767E-2</c:v>
                </c:pt>
                <c:pt idx="31">
                  <c:v>7.4952202981603766E-2</c:v>
                </c:pt>
                <c:pt idx="32">
                  <c:v>7.2779193548387092E-2</c:v>
                </c:pt>
                <c:pt idx="33">
                  <c:v>7.0786387727172009E-2</c:v>
                </c:pt>
                <c:pt idx="34">
                  <c:v>6.8874324350939237E-2</c:v>
                </c:pt>
                <c:pt idx="35">
                  <c:v>6.7038699690402465E-2</c:v>
                </c:pt>
                <c:pt idx="36">
                  <c:v>6.5275492987833972E-2</c:v>
                </c:pt>
                <c:pt idx="37">
                  <c:v>6.3580944420595434E-2</c:v>
                </c:pt>
                <c:pt idx="38">
                  <c:v>6.1951535041099765E-2</c:v>
                </c:pt>
                <c:pt idx="39">
                  <c:v>6.0383968493180909E-2</c:v>
                </c:pt>
                <c:pt idx="40">
                  <c:v>5.8875154327338565E-2</c:v>
                </c:pt>
                <c:pt idx="41">
                  <c:v>5.7422192757038124E-2</c:v>
                </c:pt>
                <c:pt idx="42">
                  <c:v>5.6022360715557135E-2</c:v>
                </c:pt>
                <c:pt idx="43">
                  <c:v>5.467309908809731E-2</c:v>
                </c:pt>
                <c:pt idx="44">
                  <c:v>5.3372001007295257E-2</c:v>
                </c:pt>
                <c:pt idx="45">
                  <c:v>5.2116801112103719E-2</c:v>
                </c:pt>
                <c:pt idx="46">
                  <c:v>5.0905365680477203E-2</c:v>
                </c:pt>
                <c:pt idx="47">
                  <c:v>4.9735683555555549E-2</c:v>
                </c:pt>
              </c:numCache>
            </c:numRef>
          </c:yVal>
          <c:smooth val="0"/>
        </c:ser>
        <c:ser>
          <c:idx val="1"/>
          <c:order val="1"/>
          <c:tx>
            <c:strRef>
              <c:f>[1]Se!$O$9</c:f>
              <c:strCache>
                <c:ptCount val="1"/>
                <c:pt idx="0">
                  <c:v>B</c:v>
                </c:pt>
              </c:strCache>
            </c:strRef>
          </c:tx>
          <c:spPr>
            <a:ln w="12700">
              <a:solidFill>
                <a:srgbClr val="000000"/>
              </a:solidFill>
              <a:prstDash val="solid"/>
            </a:ln>
          </c:spPr>
          <c:marker>
            <c:symbol val="none"/>
          </c:marker>
          <c:xVal>
            <c:numRef>
              <c:f>[1]T!$O$25:$O$72</c:f>
              <c:numCache>
                <c:formatCode>General</c:formatCode>
                <c:ptCount val="48"/>
                <c:pt idx="0">
                  <c:v>0</c:v>
                </c:pt>
                <c:pt idx="1">
                  <c:v>0.14846820172426536</c:v>
                </c:pt>
                <c:pt idx="2">
                  <c:v>0.44540460517279606</c:v>
                </c:pt>
                <c:pt idx="3">
                  <c:v>0.51322445166703623</c:v>
                </c:pt>
                <c:pt idx="4">
                  <c:v>0.58104429816127634</c:v>
                </c:pt>
                <c:pt idx="5">
                  <c:v>0.64886414465551645</c:v>
                </c:pt>
                <c:pt idx="6">
                  <c:v>0.71668399114975656</c:v>
                </c:pt>
                <c:pt idx="7">
                  <c:v>0.78450383764399667</c:v>
                </c:pt>
                <c:pt idx="8">
                  <c:v>0.85232368413823689</c:v>
                </c:pt>
                <c:pt idx="9">
                  <c:v>0.920143530632477</c:v>
                </c:pt>
                <c:pt idx="10">
                  <c:v>0.98796337712671711</c:v>
                </c:pt>
                <c:pt idx="11">
                  <c:v>1.0557832236209572</c:v>
                </c:pt>
                <c:pt idx="12">
                  <c:v>1.1236030701151973</c:v>
                </c:pt>
                <c:pt idx="13">
                  <c:v>1.1914229166094374</c:v>
                </c:pt>
                <c:pt idx="14">
                  <c:v>1.2592427631036776</c:v>
                </c:pt>
                <c:pt idx="15">
                  <c:v>1.3270626095979177</c:v>
                </c:pt>
                <c:pt idx="16">
                  <c:v>1.3948824560921578</c:v>
                </c:pt>
                <c:pt idx="17">
                  <c:v>1.4627023025863979</c:v>
                </c:pt>
                <c:pt idx="18">
                  <c:v>1.530522149080638</c:v>
                </c:pt>
                <c:pt idx="19">
                  <c:v>1.5983419955748783</c:v>
                </c:pt>
                <c:pt idx="20">
                  <c:v>1.6661618420691182</c:v>
                </c:pt>
                <c:pt idx="21">
                  <c:v>1.7339816885633585</c:v>
                </c:pt>
                <c:pt idx="22">
                  <c:v>1.8018015350575984</c:v>
                </c:pt>
                <c:pt idx="23">
                  <c:v>1.8696213815518388</c:v>
                </c:pt>
                <c:pt idx="24">
                  <c:v>1.9374412280460787</c:v>
                </c:pt>
                <c:pt idx="25">
                  <c:v>2.0052610745403192</c:v>
                </c:pt>
                <c:pt idx="26">
                  <c:v>2.0730809210345593</c:v>
                </c:pt>
                <c:pt idx="27">
                  <c:v>2.1409007675287994</c:v>
                </c:pt>
                <c:pt idx="28">
                  <c:v>2.2087206140230395</c:v>
                </c:pt>
                <c:pt idx="29">
                  <c:v>2.2765404605172797</c:v>
                </c:pt>
                <c:pt idx="30">
                  <c:v>2.3443603070115198</c:v>
                </c:pt>
                <c:pt idx="31">
                  <c:v>2.4121801535057599</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[1]Se!$O$25:$O$72</c:f>
              <c:numCache>
                <c:formatCode>General</c:formatCode>
                <c:ptCount val="48"/>
                <c:pt idx="0">
                  <c:v>0.25882559999999999</c:v>
                </c:pt>
                <c:pt idx="1">
                  <c:v>0.65741702400000002</c:v>
                </c:pt>
                <c:pt idx="2">
                  <c:v>0.65741702400000002</c:v>
                </c:pt>
                <c:pt idx="3">
                  <c:v>0.57054290585235934</c:v>
                </c:pt>
                <c:pt idx="4">
                  <c:v>0.50394878830274592</c:v>
                </c:pt>
                <c:pt idx="5">
                  <c:v>0.45127562128440868</c:v>
                </c:pt>
                <c:pt idx="6">
                  <c:v>0.40857138379613728</c:v>
                </c:pt>
                <c:pt idx="7">
                  <c:v>0.37325065341678176</c:v>
                </c:pt>
                <c:pt idx="8">
                  <c:v>0.34355090144497641</c:v>
                </c:pt>
                <c:pt idx="9">
                  <c:v>0.3182292330059876</c:v>
                </c:pt>
                <c:pt idx="10">
                  <c:v>0.29638403283752257</c:v>
                </c:pt>
                <c:pt idx="11">
                  <c:v>0.27734535220624074</c:v>
                </c:pt>
                <c:pt idx="12">
                  <c:v>0.26060499280993743</c:v>
                </c:pt>
                <c:pt idx="13">
                  <c:v>0.24577046985288378</c:v>
                </c:pt>
                <c:pt idx="14">
                  <c:v>0.23253385176253427</c:v>
                </c:pt>
                <c:pt idx="15">
                  <c:v>0.22065015462783188</c:v>
                </c:pt>
                <c:pt idx="16">
                  <c:v>0.20992203947344554</c:v>
                </c:pt>
                <c:pt idx="17">
                  <c:v>0.20018876670312669</c:v>
                </c:pt>
                <c:pt idx="18">
                  <c:v>0.19131808721911356</c:v>
                </c:pt>
                <c:pt idx="19">
                  <c:v>0.18320019796719211</c:v>
                </c:pt>
                <c:pt idx="20">
                  <c:v>0.17574317369131515</c:v>
                </c:pt>
                <c:pt idx="21">
                  <c:v>0.16886947073310762</c:v>
                </c:pt>
                <c:pt idx="22">
                  <c:v>0.16251322041372004</c:v>
                </c:pt>
                <c:pt idx="23">
                  <c:v>0.15661811150530841</c:v>
                </c:pt>
                <c:pt idx="24">
                  <c:v>0.15113571744516965</c:v>
                </c:pt>
                <c:pt idx="25">
                  <c:v>0.14602416300117885</c:v>
                </c:pt>
                <c:pt idx="26">
                  <c:v>0.14124705265362539</c:v>
                </c:pt>
                <c:pt idx="27">
                  <c:v>0.13677260265854693</c:v>
                </c:pt>
                <c:pt idx="28">
                  <c:v>0.13257293301358222</c:v>
                </c:pt>
                <c:pt idx="29">
                  <c:v>0.12862348598103118</c:v>
                </c:pt>
                <c:pt idx="30">
                  <c:v>0.12490254553996583</c:v>
                </c:pt>
                <c:pt idx="31">
                  <c:v>0.12139083790363978</c:v>
                </c:pt>
                <c:pt idx="32">
                  <c:v>0.11807119758411075</c:v>
                </c:pt>
                <c:pt idx="33">
                  <c:v>0.11483822730247362</c:v>
                </c:pt>
                <c:pt idx="34">
                  <c:v>0.11173624716664775</c:v>
                </c:pt>
                <c:pt idx="35">
                  <c:v>0.10875827514720779</c:v>
                </c:pt>
                <c:pt idx="36">
                  <c:v>0.10589778828536611</c:v>
                </c:pt>
                <c:pt idx="37">
                  <c:v>0.10314868694275131</c:v>
                </c:pt>
                <c:pt idx="38">
                  <c:v>0.10050526225759142</c:v>
                </c:pt>
                <c:pt idx="39">
                  <c:v>9.796216648280083E-2</c:v>
                </c:pt>
                <c:pt idx="40">
                  <c:v>9.5514385917955261E-2</c:v>
                </c:pt>
                <c:pt idx="41">
                  <c:v>9.31572161791204E-2</c:v>
                </c:pt>
                <c:pt idx="42">
                  <c:v>9.0886239578584355E-2</c:v>
                </c:pt>
                <c:pt idx="43">
                  <c:v>8.8697304411247666E-2</c:v>
                </c:pt>
                <c:pt idx="44">
                  <c:v>8.6586505966187249E-2</c:v>
                </c:pt>
                <c:pt idx="45">
                  <c:v>8.455016910111629E-2</c:v>
                </c:pt>
                <c:pt idx="46">
                  <c:v>8.2584832234435163E-2</c:v>
                </c:pt>
                <c:pt idx="47">
                  <c:v>8.0687232624590516E-2</c:v>
                </c:pt>
              </c:numCache>
            </c:numRef>
          </c:yVal>
          <c:smooth val="0"/>
        </c:ser>
        <c:ser>
          <c:idx val="4"/>
          <c:order val="2"/>
          <c:tx>
            <c:strRef>
              <c:f>[1]Se!$P$9</c:f>
              <c:strCache>
                <c:ptCount val="1"/>
                <c:pt idx="0">
                  <c:v>C</c:v>
                </c:pt>
              </c:strCache>
            </c:strRef>
          </c:tx>
          <c:spPr>
            <a:ln w="38100">
              <a:solidFill>
                <a:srgbClr val="0000FF"/>
              </a:solidFill>
              <a:prstDash val="solid"/>
            </a:ln>
          </c:spPr>
          <c:marker>
            <c:symbol val="none"/>
          </c:marker>
          <c:xVal>
            <c:numRef>
              <c:f>[1]T!$P$25:$P$72</c:f>
              <c:numCache>
                <c:formatCode>General</c:formatCode>
                <c:ptCount val="48"/>
                <c:pt idx="0">
                  <c:v>0</c:v>
                </c:pt>
                <c:pt idx="1">
                  <c:v>0.16414729650081863</c:v>
                </c:pt>
                <c:pt idx="2">
                  <c:v>0.49244188950245588</c:v>
                </c:pt>
                <c:pt idx="3">
                  <c:v>0.55869382651904065</c:v>
                </c:pt>
                <c:pt idx="4">
                  <c:v>0.62494576353562548</c:v>
                </c:pt>
                <c:pt idx="5">
                  <c:v>0.6911977005522103</c:v>
                </c:pt>
                <c:pt idx="6">
                  <c:v>0.75744963756879513</c:v>
                </c:pt>
                <c:pt idx="7">
                  <c:v>0.82370157458537996</c:v>
                </c:pt>
                <c:pt idx="8">
                  <c:v>0.88995351160196468</c:v>
                </c:pt>
                <c:pt idx="9">
                  <c:v>0.95620544861854961</c:v>
                </c:pt>
                <c:pt idx="10">
                  <c:v>1.0224573856351342</c:v>
                </c:pt>
                <c:pt idx="11">
                  <c:v>1.088709322651719</c:v>
                </c:pt>
                <c:pt idx="12">
                  <c:v>1.1549612596683039</c:v>
                </c:pt>
                <c:pt idx="13">
                  <c:v>1.2212131966848887</c:v>
                </c:pt>
                <c:pt idx="14">
                  <c:v>1.2874651337014735</c:v>
                </c:pt>
                <c:pt idx="15">
                  <c:v>1.3537170707180584</c:v>
                </c:pt>
                <c:pt idx="16">
                  <c:v>1.4199690077346432</c:v>
                </c:pt>
                <c:pt idx="17">
                  <c:v>1.486220944751228</c:v>
                </c:pt>
                <c:pt idx="18">
                  <c:v>1.5524728817678126</c:v>
                </c:pt>
                <c:pt idx="19">
                  <c:v>1.6187248187843974</c:v>
                </c:pt>
                <c:pt idx="20">
                  <c:v>1.6849767558009823</c:v>
                </c:pt>
                <c:pt idx="21">
                  <c:v>1.7512286928175671</c:v>
                </c:pt>
                <c:pt idx="22">
                  <c:v>1.8174806298341519</c:v>
                </c:pt>
                <c:pt idx="23">
                  <c:v>1.8837325668507368</c:v>
                </c:pt>
                <c:pt idx="24">
                  <c:v>1.9499845038673216</c:v>
                </c:pt>
                <c:pt idx="25">
                  <c:v>2.0162364408839064</c:v>
                </c:pt>
                <c:pt idx="26">
                  <c:v>2.082488377900491</c:v>
                </c:pt>
                <c:pt idx="27">
                  <c:v>2.1487403149170761</c:v>
                </c:pt>
                <c:pt idx="28">
                  <c:v>2.2149922519336607</c:v>
                </c:pt>
                <c:pt idx="29">
                  <c:v>2.2812441889502457</c:v>
                </c:pt>
                <c:pt idx="30">
                  <c:v>2.3474961259668308</c:v>
                </c:pt>
                <c:pt idx="31">
                  <c:v>2.4137480629834154</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[1]Se!$P$25:$P$72</c:f>
              <c:numCache>
                <c:formatCode>General</c:formatCode>
                <c:ptCount val="48"/>
                <c:pt idx="0">
                  <c:v>0.30023839999999996</c:v>
                </c:pt>
                <c:pt idx="1">
                  <c:v>0.76260553599999992</c:v>
                </c:pt>
                <c:pt idx="2">
                  <c:v>0.76260553599999992</c:v>
                </c:pt>
                <c:pt idx="3">
                  <c:v>0.67217301009513564</c:v>
                </c:pt>
                <c:pt idx="4">
                  <c:v>0.60091440410486952</c:v>
                </c:pt>
                <c:pt idx="5">
                  <c:v>0.54331620431151362</c:v>
                </c:pt>
                <c:pt idx="6">
                  <c:v>0.49579390162262088</c:v>
                </c:pt>
                <c:pt idx="7">
                  <c:v>0.45591622339911769</c:v>
                </c:pt>
                <c:pt idx="8">
                  <c:v>0.42197587424188332</c:v>
                </c:pt>
                <c:pt idx="9">
                  <c:v>0.39273872747265992</c:v>
                </c:pt>
                <c:pt idx="10">
                  <c:v>0.36729052610793583</c:v>
                </c:pt>
                <c:pt idx="11">
                  <c:v>0.34493955666530923</c:v>
                </c:pt>
                <c:pt idx="12">
                  <c:v>0.32515282045107297</c:v>
                </c:pt>
                <c:pt idx="13">
                  <c:v>0.30751298144526512</c:v>
                </c:pt>
                <c:pt idx="14">
                  <c:v>0.29168860675333041</c:v>
                </c:pt>
                <c:pt idx="15">
                  <c:v>0.27741314578656695</c:v>
                </c:pt>
                <c:pt idx="16">
                  <c:v>0.26446979409219046</c:v>
                </c:pt>
                <c:pt idx="17">
                  <c:v>0.25268040557437632</c:v>
                </c:pt>
                <c:pt idx="18">
                  <c:v>0.24189724374782257</c:v>
                </c:pt>
                <c:pt idx="19">
                  <c:v>0.23199675864294769</c:v>
                </c:pt>
                <c:pt idx="20">
                  <c:v>0.22287483183372123</c:v>
                </c:pt>
                <c:pt idx="21">
                  <c:v>0.2144431007972267</c:v>
                </c:pt>
                <c:pt idx="22">
                  <c:v>0.20662608719364542</c:v>
                </c:pt>
                <c:pt idx="23">
                  <c:v>0.19935893114631809</c:v>
                </c:pt>
                <c:pt idx="24">
                  <c:v>0.19258558739727555</c:v>
                </c:pt>
                <c:pt idx="25">
                  <c:v>0.18625737710019713</c:v>
                </c:pt>
                <c:pt idx="26">
                  <c:v>0.18033181605146884</c:v>
                </c:pt>
                <c:pt idx="27">
                  <c:v>0.17477165969558581</c:v>
                </c:pt>
                <c:pt idx="28">
                  <c:v>0.16954411951781423</c:v>
                </c:pt>
                <c:pt idx="29">
                  <c:v>0.1646202159820882</c:v>
                </c:pt>
                <c:pt idx="30">
                  <c:v>0.15997424103871738</c:v>
                </c:pt>
                <c:pt idx="31">
                  <c:v>0.15558330914979729</c:v>
                </c:pt>
                <c:pt idx="32">
                  <c:v>0.15142698027938434</c:v>
                </c:pt>
                <c:pt idx="33">
                  <c:v>0.14728067756459604</c:v>
                </c:pt>
                <c:pt idx="34">
                  <c:v>0.14330237045442951</c:v>
                </c:pt>
                <c:pt idx="35">
                  <c:v>0.13948310445656367</c:v>
                </c:pt>
                <c:pt idx="36">
                  <c:v>0.13581451383937299</c:v>
                </c:pt>
                <c:pt idx="37">
                  <c:v>0.13228877578206558</c:v>
                </c:pt>
                <c:pt idx="38">
                  <c:v>0.12889856863705385</c:v>
                </c:pt>
                <c:pt idx="39">
                  <c:v>0.12563703388838265</c:v>
                </c:pt>
                <c:pt idx="40">
                  <c:v>0.12249774143683381</c:v>
                </c:pt>
                <c:pt idx="41">
                  <c:v>0.11947465788334115</c:v>
                </c:pt>
                <c:pt idx="42">
                  <c:v>0.11656211751836908</c:v>
                </c:pt>
                <c:pt idx="43">
                  <c:v>0.11375479575659041</c:v>
                </c:pt>
                <c:pt idx="44">
                  <c:v>0.11104768478410941</c:v>
                </c:pt>
                <c:pt idx="45">
                  <c:v>0.10843607121010786</c:v>
                </c:pt>
                <c:pt idx="46">
                  <c:v>0.10591551553655956</c:v>
                </c:pt>
                <c:pt idx="47">
                  <c:v>0.10348183327892503</c:v>
                </c:pt>
              </c:numCache>
            </c:numRef>
          </c:yVal>
          <c:smooth val="0"/>
        </c:ser>
        <c:ser>
          <c:idx val="2"/>
          <c:order val="3"/>
          <c:tx>
            <c:strRef>
              <c:f>[1]Se!$Q$9</c:f>
              <c:strCache>
                <c:ptCount val="1"/>
                <c:pt idx="0">
                  <c:v>D</c:v>
                </c:pt>
              </c:strCache>
            </c:strRef>
          </c:tx>
          <c:spPr>
            <a:ln w="12700">
              <a:solidFill>
                <a:srgbClr val="FF00FF"/>
              </a:solidFill>
              <a:prstDash val="solid"/>
            </a:ln>
          </c:spPr>
          <c:marker>
            <c:symbol val="none"/>
          </c:marker>
          <c:xVal>
            <c:numRef>
              <c:f>[1]T!$Q$25:$Q$72</c:f>
              <c:numCache>
                <c:formatCode>General</c:formatCode>
                <c:ptCount val="48"/>
                <c:pt idx="0">
                  <c:v>0</c:v>
                </c:pt>
                <c:pt idx="1">
                  <c:v>0.23680453730638037</c:v>
                </c:pt>
                <c:pt idx="2">
                  <c:v>0.7104136119191411</c:v>
                </c:pt>
                <c:pt idx="3">
                  <c:v>0.76939982485516978</c:v>
                </c:pt>
                <c:pt idx="4">
                  <c:v>0.82838603779119835</c:v>
                </c:pt>
                <c:pt idx="5">
                  <c:v>0.88737225072722703</c:v>
                </c:pt>
                <c:pt idx="6">
                  <c:v>0.9463584636632556</c:v>
                </c:pt>
                <c:pt idx="7">
                  <c:v>1.0053446765992842</c:v>
                </c:pt>
                <c:pt idx="8">
                  <c:v>1.064330889535313</c:v>
                </c:pt>
                <c:pt idx="9">
                  <c:v>1.1233171024713415</c:v>
                </c:pt>
                <c:pt idx="10">
                  <c:v>1.1823033154073701</c:v>
                </c:pt>
                <c:pt idx="11">
                  <c:v>1.2412895283433989</c:v>
                </c:pt>
                <c:pt idx="12">
                  <c:v>1.3002757412794272</c:v>
                </c:pt>
                <c:pt idx="13">
                  <c:v>1.359261954215456</c:v>
                </c:pt>
                <c:pt idx="14">
                  <c:v>1.4182481671514848</c:v>
                </c:pt>
                <c:pt idx="15">
                  <c:v>1.4772343800875132</c:v>
                </c:pt>
                <c:pt idx="16">
                  <c:v>1.536220593023542</c:v>
                </c:pt>
                <c:pt idx="17">
                  <c:v>1.5952068059595705</c:v>
                </c:pt>
                <c:pt idx="18">
                  <c:v>1.6541930188955991</c:v>
                </c:pt>
                <c:pt idx="19">
                  <c:v>1.7131792318316279</c:v>
                </c:pt>
                <c:pt idx="20">
                  <c:v>1.7721654447676565</c:v>
                </c:pt>
                <c:pt idx="21">
                  <c:v>1.831151657703685</c:v>
                </c:pt>
                <c:pt idx="22">
                  <c:v>1.8901378706397136</c:v>
                </c:pt>
                <c:pt idx="23">
                  <c:v>1.9491240835757424</c:v>
                </c:pt>
                <c:pt idx="24">
                  <c:v>2.008110296511771</c:v>
                </c:pt>
                <c:pt idx="25">
                  <c:v>2.0670965094477998</c:v>
                </c:pt>
                <c:pt idx="26">
                  <c:v>2.1260827223838286</c:v>
                </c:pt>
                <c:pt idx="27">
                  <c:v>2.1850689353198565</c:v>
                </c:pt>
                <c:pt idx="28">
                  <c:v>2.2440551482558853</c:v>
                </c:pt>
                <c:pt idx="29">
                  <c:v>2.303041361191914</c:v>
                </c:pt>
                <c:pt idx="30">
                  <c:v>2.3620275741279428</c:v>
                </c:pt>
                <c:pt idx="31">
                  <c:v>2.4210137870639716</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[1]Se!$Q$25:$Q$72</c:f>
              <c:numCache>
                <c:formatCode>General</c:formatCode>
                <c:ptCount val="48"/>
                <c:pt idx="0">
                  <c:v>0.3435959999999999</c:v>
                </c:pt>
                <c:pt idx="1">
                  <c:v>0.87273383999999987</c:v>
                </c:pt>
                <c:pt idx="2">
                  <c:v>0.87273383999999987</c:v>
                </c:pt>
                <c:pt idx="3">
                  <c:v>0.80582550124074903</c:v>
                </c:pt>
                <c:pt idx="4">
                  <c:v>0.74844573813874249</c:v>
                </c:pt>
                <c:pt idx="5">
                  <c:v>0.69869437432864534</c:v>
                </c:pt>
                <c:pt idx="6">
                  <c:v>0.65514498292591816</c:v>
                </c:pt>
                <c:pt idx="7">
                  <c:v>0.61670590589458651</c:v>
                </c:pt>
                <c:pt idx="8">
                  <c:v>0.5825274880344351</c:v>
                </c:pt>
                <c:pt idx="9">
                  <c:v>0.55193853824038919</c:v>
                </c:pt>
                <c:pt idx="10">
                  <c:v>0.52440181080337755</c:v>
                </c:pt>
                <c:pt idx="11">
                  <c:v>0.49948217991164756</c:v>
                </c:pt>
                <c:pt idx="12">
                  <c:v>0.47682347661766017</c:v>
                </c:pt>
                <c:pt idx="13">
                  <c:v>0.45613135687029271</c:v>
                </c:pt>
                <c:pt idx="14">
                  <c:v>0.43716044475045568</c:v>
                </c:pt>
                <c:pt idx="15">
                  <c:v>0.4197045559430671</c:v>
                </c:pt>
                <c:pt idx="16">
                  <c:v>0.40358917354322982</c:v>
                </c:pt>
                <c:pt idx="17">
                  <c:v>0.38866559320219901</c:v>
                </c:pt>
                <c:pt idx="18">
                  <c:v>0.37480632092885879</c:v>
                </c:pt>
                <c:pt idx="19">
                  <c:v>0.36190142163677347</c:v>
                </c:pt>
                <c:pt idx="20">
                  <c:v>0.34985559691902712</c:v>
                </c:pt>
                <c:pt idx="21">
                  <c:v>0.3385858276184297</c:v>
                </c:pt>
                <c:pt idx="22">
                  <c:v>0.32801945781268493</c:v>
                </c:pt>
                <c:pt idx="23">
                  <c:v>0.31809262670493732</c:v>
                </c:pt>
                <c:pt idx="24">
                  <c:v>0.30874897688411279</c:v>
                </c:pt>
                <c:pt idx="25">
                  <c:v>0.29993858375005811</c:v>
                </c:pt>
                <c:pt idx="26">
                  <c:v>0.29161706315137947</c:v>
                </c:pt>
                <c:pt idx="27">
                  <c:v>0.28374482355985903</c:v>
                </c:pt>
                <c:pt idx="28">
                  <c:v>0.27628643618689003</c:v>
                </c:pt>
                <c:pt idx="29">
                  <c:v>0.26921010189655753</c:v>
                </c:pt>
                <c:pt idx="30">
                  <c:v>0.26248719799444575</c:v>
                </c:pt>
                <c:pt idx="31">
                  <c:v>0.25609189126938214</c:v>
                </c:pt>
                <c:pt idx="32">
                  <c:v>0.25000080625744425</c:v>
                </c:pt>
                <c:pt idx="33">
                  <c:v>0.24315540116667375</c:v>
                </c:pt>
                <c:pt idx="34">
                  <c:v>0.2365873511187474</c:v>
                </c:pt>
                <c:pt idx="35">
                  <c:v>0.23028187255068475</c:v>
                </c:pt>
                <c:pt idx="36">
                  <c:v>0.22422515392343603</c:v>
                </c:pt>
                <c:pt idx="37">
                  <c:v>0.21840428002531603</c:v>
                </c:pt>
                <c:pt idx="38">
                  <c:v>0.21280716306459385</c:v>
                </c:pt>
                <c:pt idx="39">
                  <c:v>0.20742247986414919</c:v>
                </c:pt>
                <c:pt idx="40">
                  <c:v>0.20223961454835732</c:v>
                </c:pt>
                <c:pt idx="41">
                  <c:v>0.19724860618008386</c:v>
                </c:pt>
                <c:pt idx="42">
                  <c:v>0.19244010086513308</c:v>
                </c:pt>
                <c:pt idx="43">
                  <c:v>0.18780530789380229</c:v>
                </c:pt>
                <c:pt idx="44">
                  <c:v>0.18333595953527357</c:v>
                </c:pt>
                <c:pt idx="45">
                  <c:v>0.17902427414123973</c:v>
                </c:pt>
                <c:pt idx="46">
                  <c:v>0.17486292225109948</c:v>
                </c:pt>
                <c:pt idx="47">
                  <c:v>0.17084499542286499</c:v>
                </c:pt>
              </c:numCache>
            </c:numRef>
          </c:yVal>
          <c:smooth val="0"/>
        </c:ser>
        <c:ser>
          <c:idx val="3"/>
          <c:order val="4"/>
          <c:tx>
            <c:strRef>
              <c:f>[1]Se!$R$9</c:f>
              <c:strCache>
                <c:ptCount val="1"/>
                <c:pt idx="0">
                  <c:v>E</c:v>
                </c:pt>
              </c:strCache>
            </c:strRef>
          </c:tx>
          <c:spPr>
            <a:ln w="12700">
              <a:solidFill>
                <a:srgbClr val="FF0000"/>
              </a:solidFill>
              <a:prstDash val="solid"/>
            </a:ln>
          </c:spPr>
          <c:marker>
            <c:symbol val="none"/>
          </c:marker>
          <c:xVal>
            <c:numRef>
              <c:f>[1]T!$R$25:$R$72</c:f>
              <c:numCache>
                <c:formatCode>General</c:formatCode>
                <c:ptCount val="48"/>
                <c:pt idx="0">
                  <c:v>0</c:v>
                </c:pt>
                <c:pt idx="1">
                  <c:v>0.19457995518554907</c:v>
                </c:pt>
                <c:pt idx="2">
                  <c:v>0.58373986555664725</c:v>
                </c:pt>
                <c:pt idx="3">
                  <c:v>0.64694853670475905</c:v>
                </c:pt>
                <c:pt idx="4">
                  <c:v>0.71015720785287073</c:v>
                </c:pt>
                <c:pt idx="5">
                  <c:v>0.77336587900098253</c:v>
                </c:pt>
                <c:pt idx="6">
                  <c:v>0.83657455014909421</c:v>
                </c:pt>
                <c:pt idx="7">
                  <c:v>0.899783221297206</c:v>
                </c:pt>
                <c:pt idx="8">
                  <c:v>0.9629918924453178</c:v>
                </c:pt>
                <c:pt idx="9">
                  <c:v>1.0262005635934295</c:v>
                </c:pt>
                <c:pt idx="10">
                  <c:v>1.0894092347415412</c:v>
                </c:pt>
                <c:pt idx="11">
                  <c:v>1.1526179058896531</c:v>
                </c:pt>
                <c:pt idx="12">
                  <c:v>1.2158265770377648</c:v>
                </c:pt>
                <c:pt idx="13">
                  <c:v>1.2790352481858767</c:v>
                </c:pt>
                <c:pt idx="14">
                  <c:v>1.3422439193339883</c:v>
                </c:pt>
                <c:pt idx="15">
                  <c:v>1.4054525904821</c:v>
                </c:pt>
                <c:pt idx="16">
                  <c:v>1.4686612616302119</c:v>
                </c:pt>
                <c:pt idx="17">
                  <c:v>1.5318699327783236</c:v>
                </c:pt>
                <c:pt idx="18">
                  <c:v>1.5950786039264353</c:v>
                </c:pt>
                <c:pt idx="19">
                  <c:v>1.6582872750745472</c:v>
                </c:pt>
                <c:pt idx="20">
                  <c:v>1.7214959462226589</c:v>
                </c:pt>
                <c:pt idx="21">
                  <c:v>1.7847046173707706</c:v>
                </c:pt>
                <c:pt idx="22">
                  <c:v>1.8479132885188823</c:v>
                </c:pt>
                <c:pt idx="23">
                  <c:v>1.9111219596669942</c:v>
                </c:pt>
                <c:pt idx="24">
                  <c:v>1.9743306308151058</c:v>
                </c:pt>
                <c:pt idx="25">
                  <c:v>2.0375393019632178</c:v>
                </c:pt>
                <c:pt idx="26">
                  <c:v>2.1007479731113294</c:v>
                </c:pt>
                <c:pt idx="27">
                  <c:v>2.1639566442594411</c:v>
                </c:pt>
                <c:pt idx="28">
                  <c:v>2.2271653154075528</c:v>
                </c:pt>
                <c:pt idx="29">
                  <c:v>2.2903739865556645</c:v>
                </c:pt>
                <c:pt idx="30">
                  <c:v>2.3535826577037766</c:v>
                </c:pt>
                <c:pt idx="31">
                  <c:v>2.4167913288518883</c:v>
                </c:pt>
                <c:pt idx="32">
                  <c:v>2.48</c:v>
                </c:pt>
                <c:pt idx="33">
                  <c:v>2.5146666666666668</c:v>
                </c:pt>
                <c:pt idx="34">
                  <c:v>2.5493333333333332</c:v>
                </c:pt>
                <c:pt idx="35">
                  <c:v>2.5840000000000001</c:v>
                </c:pt>
                <c:pt idx="36">
                  <c:v>2.6186666666666665</c:v>
                </c:pt>
                <c:pt idx="37">
                  <c:v>2.6533333333333333</c:v>
                </c:pt>
                <c:pt idx="38">
                  <c:v>2.6880000000000002</c:v>
                </c:pt>
                <c:pt idx="39">
                  <c:v>2.7226666666666666</c:v>
                </c:pt>
                <c:pt idx="40">
                  <c:v>2.7573333333333334</c:v>
                </c:pt>
                <c:pt idx="41">
                  <c:v>2.7919999999999998</c:v>
                </c:pt>
                <c:pt idx="42">
                  <c:v>2.8266666666666667</c:v>
                </c:pt>
                <c:pt idx="43">
                  <c:v>2.8613333333333335</c:v>
                </c:pt>
                <c:pt idx="44">
                  <c:v>2.8959999999999999</c:v>
                </c:pt>
                <c:pt idx="45">
                  <c:v>2.9306666666666668</c:v>
                </c:pt>
                <c:pt idx="46">
                  <c:v>2.9653333333333332</c:v>
                </c:pt>
                <c:pt idx="47">
                  <c:v>3</c:v>
                </c:pt>
              </c:numCache>
            </c:numRef>
          </c:xVal>
          <c:yVal>
            <c:numRef>
              <c:f>[1]Se!$R$25:$R$72</c:f>
              <c:numCache>
                <c:formatCode>General</c:formatCode>
                <c:ptCount val="48"/>
                <c:pt idx="0">
                  <c:v>0.3047704</c:v>
                </c:pt>
                <c:pt idx="1">
                  <c:v>0.77411681600000004</c:v>
                </c:pt>
                <c:pt idx="2">
                  <c:v>0.77411681600000004</c:v>
                </c:pt>
                <c:pt idx="3">
                  <c:v>0.6984834503199453</c:v>
                </c:pt>
                <c:pt idx="4">
                  <c:v>0.63631382051761176</c:v>
                </c:pt>
                <c:pt idx="5">
                  <c:v>0.58430667600788444</c:v>
                </c:pt>
                <c:pt idx="6">
                  <c:v>0.54015849037774977</c:v>
                </c:pt>
                <c:pt idx="7">
                  <c:v>0.50221301687033704</c:v>
                </c:pt>
                <c:pt idx="8">
                  <c:v>0.46924885831542912</c:v>
                </c:pt>
                <c:pt idx="9">
                  <c:v>0.44034554465126119</c:v>
                </c:pt>
                <c:pt idx="10">
                  <c:v>0.41479623238569996</c:v>
                </c:pt>
                <c:pt idx="11">
                  <c:v>0.39204912902007377</c:v>
                </c:pt>
                <c:pt idx="12">
                  <c:v>0.37166718891599287</c:v>
                </c:pt>
                <c:pt idx="13">
                  <c:v>0.35329975990724977</c:v>
                </c:pt>
                <c:pt idx="14">
                  <c:v>0.33666224118281041</c:v>
                </c:pt>
                <c:pt idx="15">
                  <c:v>0.32152123035468205</c:v>
                </c:pt>
                <c:pt idx="16">
                  <c:v>0.3076835059946979</c:v>
                </c:pt>
                <c:pt idx="17">
                  <c:v>0.29498773781492565</c:v>
                </c:pt>
                <c:pt idx="18">
                  <c:v>0.28329816786748185</c:v>
                </c:pt>
                <c:pt idx="19">
                  <c:v>0.27249973686053025</c:v>
                </c:pt>
                <c:pt idx="20">
                  <c:v>0.26249428416518222</c:v>
                </c:pt>
                <c:pt idx="21">
                  <c:v>0.25319755532581878</c:v>
                </c:pt>
                <c:pt idx="22">
                  <c:v>0.24453682372681443</c:v>
                </c:pt>
                <c:pt idx="23">
                  <c:v>0.2364489842268982</c:v>
                </c:pt>
                <c:pt idx="24">
                  <c:v>0.22887901299004779</c:v>
                </c:pt>
                <c:pt idx="25">
                  <c:v>0.22177871399171539</c:v>
                </c:pt>
                <c:pt idx="26">
                  <c:v>0.2151056918206686</c:v>
                </c:pt>
                <c:pt idx="27">
                  <c:v>0.20882250450614978</c:v>
                </c:pt>
                <c:pt idx="28">
                  <c:v>0.20289596060555076</c:v>
                </c:pt>
                <c:pt idx="29">
                  <c:v>0.19729653268396369</c:v>
                </c:pt>
                <c:pt idx="30">
                  <c:v>0.19199786530456928</c:v>
                </c:pt>
                <c:pt idx="31">
                  <c:v>0.18697636022703276</c:v>
                </c:pt>
                <c:pt idx="32">
                  <c:v>0.18221082503910482</c:v>
                </c:pt>
                <c:pt idx="33">
                  <c:v>0.1772216134921959</c:v>
                </c:pt>
                <c:pt idx="34">
                  <c:v>0.17243454965809613</c:v>
                </c:pt>
                <c:pt idx="35">
                  <c:v>0.16783885867072407</c:v>
                </c:pt>
                <c:pt idx="36">
                  <c:v>0.1634244741148429</c:v>
                </c:pt>
                <c:pt idx="37">
                  <c:v>0.15918198285530338</c:v>
                </c:pt>
                <c:pt idx="38">
                  <c:v>0.15510257481450157</c:v>
                </c:pt>
                <c:pt idx="39">
                  <c:v>0.15117799719727232</c:v>
                </c:pt>
                <c:pt idx="40">
                  <c:v>0.14740051271874424</c:v>
                </c:pt>
                <c:pt idx="41">
                  <c:v>0.14376286144003722</c:v>
                </c:pt>
                <c:pt idx="42">
                  <c:v>0.1402582258600229</c:v>
                </c:pt>
                <c:pt idx="43">
                  <c:v>0.13688019894949377</c:v>
                </c:pt>
                <c:pt idx="44">
                  <c:v>0.13362275484766928</c:v>
                </c:pt>
                <c:pt idx="45">
                  <c:v>0.13048022197060749</c:v>
                </c:pt>
                <c:pt idx="46">
                  <c:v>0.12744725830728365</c:v>
                </c:pt>
                <c:pt idx="47">
                  <c:v>0.1245188287022789</c:v>
                </c:pt>
              </c:numCache>
            </c:numRef>
          </c:yVal>
          <c:smooth val="0"/>
        </c:ser>
        <c:ser>
          <c:idx val="5"/>
          <c:order val="5"/>
          <c:tx>
            <c:strRef>
              <c:f>[1]Se!$S$9</c:f>
              <c:strCache>
                <c:ptCount val="1"/>
                <c:pt idx="0">
                  <c:v>vert</c:v>
                </c:pt>
              </c:strCache>
            </c:strRef>
          </c:tx>
          <c:spPr>
            <a:ln w="25400">
              <a:solidFill>
                <a:srgbClr val="00FF00"/>
              </a:solidFill>
              <a:prstDash val="solid"/>
            </a:ln>
          </c:spPr>
          <c:marker>
            <c:symbol val="none"/>
          </c:marker>
          <c:xVal>
            <c:numRef>
              <c:f>[1]T!$S$25:$S$72</c:f>
              <c:numCache>
                <c:formatCode>General</c:formatCode>
                <c:ptCount val="48"/>
                <c:pt idx="0">
                  <c:v>0</c:v>
                </c:pt>
                <c:pt idx="1">
                  <c:v>0.05</c:v>
                </c:pt>
                <c:pt idx="2">
                  <c:v>0.15</c:v>
                </c:pt>
                <c:pt idx="3">
                  <c:v>0.17833333333333332</c:v>
                </c:pt>
                <c:pt idx="4">
                  <c:v>0.20666666666666667</c:v>
                </c:pt>
                <c:pt idx="5">
                  <c:v>0.23499999999999999</c:v>
                </c:pt>
                <c:pt idx="6">
                  <c:v>0.26333333333333331</c:v>
                </c:pt>
                <c:pt idx="7">
                  <c:v>0.29166666666666663</c:v>
                </c:pt>
                <c:pt idx="8">
                  <c:v>0.31999999999999995</c:v>
                </c:pt>
                <c:pt idx="9">
                  <c:v>0.34833333333333333</c:v>
                </c:pt>
                <c:pt idx="10">
                  <c:v>0.37666666666666665</c:v>
                </c:pt>
                <c:pt idx="11">
                  <c:v>0.40500000000000003</c:v>
                </c:pt>
                <c:pt idx="12">
                  <c:v>0.43333333333333335</c:v>
                </c:pt>
                <c:pt idx="13">
                  <c:v>0.46166666666666667</c:v>
                </c:pt>
                <c:pt idx="14">
                  <c:v>0.49</c:v>
                </c:pt>
                <c:pt idx="15">
                  <c:v>0.51833333333333331</c:v>
                </c:pt>
                <c:pt idx="16">
                  <c:v>0.54666666666666663</c:v>
                </c:pt>
                <c:pt idx="17">
                  <c:v>0.57499999999999996</c:v>
                </c:pt>
                <c:pt idx="18">
                  <c:v>0.60333333333333328</c:v>
                </c:pt>
                <c:pt idx="19">
                  <c:v>0.6316666666666666</c:v>
                </c:pt>
                <c:pt idx="20">
                  <c:v>0.66</c:v>
                </c:pt>
                <c:pt idx="21">
                  <c:v>0.68833333333333335</c:v>
                </c:pt>
                <c:pt idx="22">
                  <c:v>0.71666666666666667</c:v>
                </c:pt>
                <c:pt idx="23">
                  <c:v>0.745</c:v>
                </c:pt>
                <c:pt idx="24">
                  <c:v>0.77333333333333332</c:v>
                </c:pt>
                <c:pt idx="25">
                  <c:v>0.80166666666666675</c:v>
                </c:pt>
                <c:pt idx="26">
                  <c:v>0.83</c:v>
                </c:pt>
                <c:pt idx="27">
                  <c:v>0.85833333333333339</c:v>
                </c:pt>
                <c:pt idx="28">
                  <c:v>0.8866666666666666</c:v>
                </c:pt>
                <c:pt idx="29">
                  <c:v>0.91500000000000004</c:v>
                </c:pt>
                <c:pt idx="30">
                  <c:v>0.94333333333333336</c:v>
                </c:pt>
                <c:pt idx="31">
                  <c:v>0.97166666666666668</c:v>
                </c:pt>
                <c:pt idx="32">
                  <c:v>1</c:v>
                </c:pt>
                <c:pt idx="33">
                  <c:v>1.1333333333333333</c:v>
                </c:pt>
                <c:pt idx="34">
                  <c:v>1.2666666666666666</c:v>
                </c:pt>
                <c:pt idx="35">
                  <c:v>1.4</c:v>
                </c:pt>
                <c:pt idx="36">
                  <c:v>1.5333333333333332</c:v>
                </c:pt>
                <c:pt idx="37">
                  <c:v>1.6666666666666665</c:v>
                </c:pt>
                <c:pt idx="38">
                  <c:v>1.8</c:v>
                </c:pt>
                <c:pt idx="39">
                  <c:v>1.9333333333333333</c:v>
                </c:pt>
                <c:pt idx="40">
                  <c:v>2.0666666666666664</c:v>
                </c:pt>
                <c:pt idx="41">
                  <c:v>2.2000000000000002</c:v>
                </c:pt>
                <c:pt idx="42">
                  <c:v>2.333333333333333</c:v>
                </c:pt>
                <c:pt idx="43">
                  <c:v>2.4666666666666668</c:v>
                </c:pt>
                <c:pt idx="44">
                  <c:v>2.6</c:v>
                </c:pt>
                <c:pt idx="45">
                  <c:v>2.7333333333333334</c:v>
                </c:pt>
                <c:pt idx="46">
                  <c:v>2.8666666666666667</c:v>
                </c:pt>
                <c:pt idx="47">
                  <c:v>3</c:v>
                </c:pt>
              </c:numCache>
            </c:numRef>
          </c:xVal>
          <c:yVal>
            <c:numRef>
              <c:f>[1]Se!$S$25:$S$72</c:f>
              <c:numCache>
                <c:formatCode>General</c:formatCode>
                <c:ptCount val="48"/>
                <c:pt idx="0">
                  <c:v>0.22</c:v>
                </c:pt>
                <c:pt idx="1">
                  <c:v>0.35383558408955995</c:v>
                </c:pt>
                <c:pt idx="2">
                  <c:v>0.35383558408955995</c:v>
                </c:pt>
                <c:pt idx="3">
                  <c:v>0.29761871558934949</c:v>
                </c:pt>
                <c:pt idx="4">
                  <c:v>0.25681614974242256</c:v>
                </c:pt>
                <c:pt idx="5">
                  <c:v>0.22585250048269784</c:v>
                </c:pt>
                <c:pt idx="6">
                  <c:v>0.20155191498772404</c:v>
                </c:pt>
                <c:pt idx="7">
                  <c:v>0.18197258610320227</c:v>
                </c:pt>
                <c:pt idx="8">
                  <c:v>0.16586043004198125</c:v>
                </c:pt>
                <c:pt idx="9">
                  <c:v>0.15236939027780094</c:v>
                </c:pt>
                <c:pt idx="10">
                  <c:v>0.14090797596486901</c:v>
                </c:pt>
                <c:pt idx="11">
                  <c:v>0.13105021632946665</c:v>
                </c:pt>
                <c:pt idx="12">
                  <c:v>0.12248154833869382</c:v>
                </c:pt>
                <c:pt idx="13">
                  <c:v>0.11496463020960432</c:v>
                </c:pt>
                <c:pt idx="14">
                  <c:v>0.1083170155376204</c:v>
                </c:pt>
                <c:pt idx="15">
                  <c:v>0.10239614973652861</c:v>
                </c:pt>
                <c:pt idx="16">
                  <c:v>9.7089032219696336E-2</c:v>
                </c:pt>
                <c:pt idx="17">
                  <c:v>9.2304934979885206E-2</c:v>
                </c:pt>
                <c:pt idx="18">
                  <c:v>8.7970172839945848E-2</c:v>
                </c:pt>
                <c:pt idx="19">
                  <c:v>8.4024281182217414E-2</c:v>
                </c:pt>
                <c:pt idx="20">
                  <c:v>8.0417178202172715E-2</c:v>
                </c:pt>
                <c:pt idx="21">
                  <c:v>7.7107028009831463E-2</c:v>
                </c:pt>
                <c:pt idx="22">
                  <c:v>7.4058610623396262E-2</c:v>
                </c:pt>
                <c:pt idx="23">
                  <c:v>7.1242063910649647E-2</c:v>
                </c:pt>
                <c:pt idx="24">
                  <c:v>6.8631902086337057E-2</c:v>
                </c:pt>
                <c:pt idx="25">
                  <c:v>6.6206242345239905E-2</c:v>
                </c:pt>
                <c:pt idx="26">
                  <c:v>6.3946189895703609E-2</c:v>
                </c:pt>
                <c:pt idx="27">
                  <c:v>6.1835344792350276E-2</c:v>
                </c:pt>
                <c:pt idx="28">
                  <c:v>5.9859403323421802E-2</c:v>
                </c:pt>
                <c:pt idx="29">
                  <c:v>5.8005833457304909E-2</c:v>
                </c:pt>
                <c:pt idx="30">
                  <c:v>5.6263608777491862E-2</c:v>
                </c:pt>
                <c:pt idx="31">
                  <c:v>5.4622988967513539E-2</c:v>
                </c:pt>
                <c:pt idx="32">
                  <c:v>5.3075337613433991E-2</c:v>
                </c:pt>
                <c:pt idx="33">
                  <c:v>4.1321629629836161E-2</c:v>
                </c:pt>
                <c:pt idx="34">
                  <c:v>3.3080196573469944E-2</c:v>
                </c:pt>
                <c:pt idx="35">
                  <c:v>2.7079253884405102E-2</c:v>
                </c:pt>
                <c:pt idx="36">
                  <c:v>2.257457648964584E-2</c:v>
                </c:pt>
                <c:pt idx="37">
                  <c:v>1.9107121540836242E-2</c:v>
                </c:pt>
                <c:pt idx="38">
                  <c:v>1.6381277041183331E-2</c:v>
                </c:pt>
                <c:pt idx="39">
                  <c:v>1.4199703879931806E-2</c:v>
                </c:pt>
                <c:pt idx="40">
                  <c:v>1.2426587890762385E-2</c:v>
                </c:pt>
                <c:pt idx="41">
                  <c:v>1.0965978845750823E-2</c:v>
                </c:pt>
                <c:pt idx="42">
                  <c:v>9.7485313983858377E-3</c:v>
                </c:pt>
                <c:pt idx="43">
                  <c:v>8.7231197684606628E-3</c:v>
                </c:pt>
                <c:pt idx="44">
                  <c:v>7.8513813037624242E-3</c:v>
                </c:pt>
                <c:pt idx="45">
                  <c:v>7.1040755282704626E-3</c:v>
                </c:pt>
                <c:pt idx="46">
                  <c:v>6.4585997636682786E-3</c:v>
                </c:pt>
                <c:pt idx="47">
                  <c:v>5.8972597348259988E-3</c:v>
                </c:pt>
              </c:numCache>
            </c:numRef>
          </c:yVal>
          <c:smooth val="0"/>
        </c:ser>
        <c:dLbls>
          <c:showLegendKey val="0"/>
          <c:showVal val="0"/>
          <c:showCatName val="0"/>
          <c:showSerName val="0"/>
          <c:showPercent val="0"/>
          <c:showBubbleSize val="0"/>
        </c:dLbls>
        <c:axId val="145290464"/>
        <c:axId val="145291024"/>
      </c:scatterChart>
      <c:valAx>
        <c:axId val="145290464"/>
        <c:scaling>
          <c:orientation val="minMax"/>
          <c:max val="3"/>
          <c:min val="0"/>
        </c:scaling>
        <c:delete val="0"/>
        <c:axPos val="b"/>
        <c:numFmt formatCode="0.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it-IT"/>
          </a:p>
        </c:txPr>
        <c:crossAx val="145291024"/>
        <c:crosses val="autoZero"/>
        <c:crossBetween val="midCat"/>
        <c:majorUnit val="0.5"/>
      </c:valAx>
      <c:valAx>
        <c:axId val="145291024"/>
        <c:scaling>
          <c:orientation val="minMax"/>
          <c:max val="1"/>
          <c:min val="0"/>
        </c:scaling>
        <c:delete val="0"/>
        <c:axPos val="l"/>
        <c:numFmt formatCode="0.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it-IT"/>
          </a:p>
        </c:txPr>
        <c:crossAx val="145290464"/>
        <c:crosses val="autoZero"/>
        <c:crossBetween val="midCat"/>
        <c:majorUnit val="0.1"/>
      </c:valAx>
      <c:spPr>
        <a:noFill/>
        <a:ln w="25400">
          <a:noFill/>
        </a:ln>
      </c:spPr>
    </c:plotArea>
    <c:legend>
      <c:legendPos val="r"/>
      <c:layout>
        <c:manualLayout>
          <c:xMode val="edge"/>
          <c:yMode val="edge"/>
          <c:x val="0.84791666326683257"/>
          <c:y val="0.15932195232811519"/>
          <c:w val="8.0208341832918584E-2"/>
          <c:h val="0.17966106528704284"/>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it-IT"/>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6.tmp"/><Relationship Id="rId2" Type="http://schemas.openxmlformats.org/officeDocument/2006/relationships/image" Target="../media/image5.emf"/><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2" Type="http://schemas.openxmlformats.org/officeDocument/2006/relationships/image" Target="../media/image8.JPG"/><Relationship Id="rId1" Type="http://schemas.openxmlformats.org/officeDocument/2006/relationships/image" Target="../media/image7.JPG"/></Relationships>
</file>

<file path=xl/drawings/_rels/drawing5.xml.rels><?xml version="1.0" encoding="UTF-8" standalone="yes"?>
<Relationships xmlns="http://schemas.openxmlformats.org/package/2006/relationships"><Relationship Id="rId3" Type="http://schemas.openxmlformats.org/officeDocument/2006/relationships/image" Target="../media/image11.tmp"/><Relationship Id="rId2" Type="http://schemas.openxmlformats.org/officeDocument/2006/relationships/image" Target="../media/image10.tmp"/><Relationship Id="rId1" Type="http://schemas.openxmlformats.org/officeDocument/2006/relationships/image" Target="../media/image9.tmp"/><Relationship Id="rId4" Type="http://schemas.openxmlformats.org/officeDocument/2006/relationships/image" Target="../media/image12.tmp"/></Relationships>
</file>

<file path=xl/drawings/drawing1.xml><?xml version="1.0" encoding="utf-8"?>
<xdr:wsDr xmlns:xdr="http://schemas.openxmlformats.org/drawingml/2006/spreadsheetDrawing" xmlns:a="http://schemas.openxmlformats.org/drawingml/2006/main">
  <xdr:twoCellAnchor editAs="oneCell">
    <xdr:from>
      <xdr:col>25</xdr:col>
      <xdr:colOff>295926</xdr:colOff>
      <xdr:row>6</xdr:row>
      <xdr:rowOff>54916</xdr:rowOff>
    </xdr:from>
    <xdr:to>
      <xdr:col>31</xdr:col>
      <xdr:colOff>572700</xdr:colOff>
      <xdr:row>30</xdr:row>
      <xdr:rowOff>69008</xdr:rowOff>
    </xdr:to>
    <xdr:pic>
      <xdr:nvPicPr>
        <xdr:cNvPr id="2" name="Immagine 1" descr="Ritaglio schermata"/>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231751" y="1369366"/>
          <a:ext cx="3934374" cy="4871842"/>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clientData/>
  </xdr:twoCellAnchor>
  <xdr:twoCellAnchor editAs="oneCell">
    <xdr:from>
      <xdr:col>18</xdr:col>
      <xdr:colOff>108238</xdr:colOff>
      <xdr:row>6</xdr:row>
      <xdr:rowOff>51233</xdr:rowOff>
    </xdr:from>
    <xdr:to>
      <xdr:col>25</xdr:col>
      <xdr:colOff>78810</xdr:colOff>
      <xdr:row>30</xdr:row>
      <xdr:rowOff>147175</xdr:rowOff>
    </xdr:to>
    <xdr:pic>
      <xdr:nvPicPr>
        <xdr:cNvPr id="3" name="Immagine 2" descr="Ritaglio schermata"/>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776863" y="1365683"/>
          <a:ext cx="4237772" cy="4953692"/>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clientData/>
  </xdr:twoCellAnchor>
  <xdr:twoCellAnchor editAs="oneCell">
    <xdr:from>
      <xdr:col>18</xdr:col>
      <xdr:colOff>111967</xdr:colOff>
      <xdr:row>0</xdr:row>
      <xdr:rowOff>0</xdr:rowOff>
    </xdr:from>
    <xdr:to>
      <xdr:col>31</xdr:col>
      <xdr:colOff>571500</xdr:colOff>
      <xdr:row>5</xdr:row>
      <xdr:rowOff>61036</xdr:rowOff>
    </xdr:to>
    <xdr:pic>
      <xdr:nvPicPr>
        <xdr:cNvPr id="4" name="Immagine 3" descr="Ritaglio schermata"/>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5780592" y="0"/>
          <a:ext cx="8384333" cy="1156411"/>
        </a:xfrm>
        <a:prstGeom prst="rect">
          <a:avLst/>
        </a:prstGeom>
        <a:solidFill>
          <a:srgbClr val="FFFFFF">
            <a:shade val="85000"/>
          </a:srgbClr>
        </a:solidFill>
        <a:ln w="190500" cap="rnd">
          <a:solidFill>
            <a:srgbClr val="FFFFFF"/>
          </a:solidFill>
        </a:ln>
        <a:effectLst>
          <a:outerShdw blurRad="50000" algn="tl" rotWithShape="0">
            <a:srgbClr val="000000">
              <a:alpha val="41000"/>
            </a:srgbClr>
          </a:outerShdw>
        </a:effectLst>
        <a:scene3d>
          <a:camera prst="orthographicFront"/>
          <a:lightRig rig="twoPt" dir="t">
            <a:rot lat="0" lon="0" rev="7800000"/>
          </a:lightRig>
        </a:scene3d>
        <a:sp3d contourW="6350">
          <a:bevelT w="50800" h="16510"/>
          <a:contourClr>
            <a:srgbClr val="C0C0C0"/>
          </a:contourClr>
        </a:sp3d>
      </xdr:spPr>
    </xdr:pic>
    <xdr:clientData/>
  </xdr:twoCellAnchor>
</xdr:wsDr>
</file>

<file path=xl/drawings/drawing2.xml><?xml version="1.0" encoding="utf-8"?>
<xdr:wsDr xmlns:xdr="http://schemas.openxmlformats.org/drawingml/2006/spreadsheetDrawing" xmlns:a="http://schemas.openxmlformats.org/drawingml/2006/main">
  <xdr:absoluteAnchor>
    <xdr:pos x="7419975" y="190500"/>
    <xdr:ext cx="9210675" cy="5619750"/>
    <xdr:graphicFrame macro="">
      <xdr:nvGraphicFramePr>
        <xdr:cNvPr id="2" name="Gra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7419975" y="6096000"/>
    <xdr:ext cx="9200522" cy="5610330"/>
    <xdr:graphicFrame macro="">
      <xdr:nvGraphicFramePr>
        <xdr:cNvPr id="3" name="Grafico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49</xdr:row>
      <xdr:rowOff>76200</xdr:rowOff>
    </xdr:from>
    <xdr:to>
      <xdr:col>15</xdr:col>
      <xdr:colOff>238125</xdr:colOff>
      <xdr:row>66</xdr:row>
      <xdr:rowOff>76200</xdr:rowOff>
    </xdr:to>
    <xdr:pic>
      <xdr:nvPicPr>
        <xdr:cNvPr id="2" name="Immagin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91700"/>
          <a:ext cx="10163175" cy="3238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161925</xdr:colOff>
      <xdr:row>32</xdr:row>
      <xdr:rowOff>0</xdr:rowOff>
    </xdr:from>
    <xdr:to>
      <xdr:col>32</xdr:col>
      <xdr:colOff>76200</xdr:colOff>
      <xdr:row>45</xdr:row>
      <xdr:rowOff>9525</xdr:rowOff>
    </xdr:to>
    <xdr:pic>
      <xdr:nvPicPr>
        <xdr:cNvPr id="3" name="Immagin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53550" y="6362700"/>
          <a:ext cx="10277475" cy="2486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38100</xdr:colOff>
      <xdr:row>45</xdr:row>
      <xdr:rowOff>28575</xdr:rowOff>
    </xdr:from>
    <xdr:to>
      <xdr:col>24</xdr:col>
      <xdr:colOff>448243</xdr:colOff>
      <xdr:row>74</xdr:row>
      <xdr:rowOff>143678</xdr:rowOff>
    </xdr:to>
    <xdr:pic>
      <xdr:nvPicPr>
        <xdr:cNvPr id="4" name="Immagine 3" descr="Ritaglio schermata"/>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563225" y="8867775"/>
          <a:ext cx="4067743" cy="575390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228600</xdr:colOff>
      <xdr:row>44</xdr:row>
      <xdr:rowOff>47625</xdr:rowOff>
    </xdr:from>
    <xdr:to>
      <xdr:col>14</xdr:col>
      <xdr:colOff>152899</xdr:colOff>
      <xdr:row>64</xdr:row>
      <xdr:rowOff>37478</xdr:rowOff>
    </xdr:to>
    <xdr:pic>
      <xdr:nvPicPr>
        <xdr:cNvPr id="2"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05375" y="8267700"/>
          <a:ext cx="4601074" cy="3799853"/>
        </a:xfrm>
        <a:prstGeom prst="rect">
          <a:avLst/>
        </a:prstGeom>
      </xdr:spPr>
    </xdr:pic>
    <xdr:clientData/>
  </xdr:twoCellAnchor>
  <xdr:twoCellAnchor editAs="oneCell">
    <xdr:from>
      <xdr:col>1</xdr:col>
      <xdr:colOff>600075</xdr:colOff>
      <xdr:row>33</xdr:row>
      <xdr:rowOff>180975</xdr:rowOff>
    </xdr:from>
    <xdr:to>
      <xdr:col>7</xdr:col>
      <xdr:colOff>123826</xdr:colOff>
      <xdr:row>53</xdr:row>
      <xdr:rowOff>159526</xdr:rowOff>
    </xdr:to>
    <xdr:pic>
      <xdr:nvPicPr>
        <xdr:cNvPr id="3" name="Immagin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0075" y="6305550"/>
          <a:ext cx="4200526" cy="378855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37</xdr:col>
      <xdr:colOff>333375</xdr:colOff>
      <xdr:row>2</xdr:row>
      <xdr:rowOff>9524</xdr:rowOff>
    </xdr:from>
    <xdr:ext cx="4895850" cy="331697"/>
    <xdr:pic>
      <xdr:nvPicPr>
        <xdr:cNvPr id="2" name="Immagine 1" descr="Ritaglio schermata"/>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88575" y="390524"/>
          <a:ext cx="4895850" cy="331697"/>
        </a:xfrm>
        <a:prstGeom prst="rect">
          <a:avLst/>
        </a:prstGeom>
      </xdr:spPr>
    </xdr:pic>
    <xdr:clientData/>
  </xdr:oneCellAnchor>
  <xdr:oneCellAnchor>
    <xdr:from>
      <xdr:col>37</xdr:col>
      <xdr:colOff>342900</xdr:colOff>
      <xdr:row>16</xdr:row>
      <xdr:rowOff>151551</xdr:rowOff>
    </xdr:from>
    <xdr:ext cx="4886326" cy="2182347"/>
    <xdr:pic>
      <xdr:nvPicPr>
        <xdr:cNvPr id="3" name="Immagine 2" descr="Ritaglio schermata"/>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898100" y="3199551"/>
          <a:ext cx="4886326" cy="2182347"/>
        </a:xfrm>
        <a:prstGeom prst="rect">
          <a:avLst/>
        </a:prstGeom>
      </xdr:spPr>
    </xdr:pic>
    <xdr:clientData/>
  </xdr:oneCellAnchor>
  <xdr:oneCellAnchor>
    <xdr:from>
      <xdr:col>28</xdr:col>
      <xdr:colOff>695325</xdr:colOff>
      <xdr:row>16</xdr:row>
      <xdr:rowOff>28575</xdr:rowOff>
    </xdr:from>
    <xdr:ext cx="4801270" cy="1343212"/>
    <xdr:pic>
      <xdr:nvPicPr>
        <xdr:cNvPr id="4" name="Immagine 3" descr="Ritaglio schermata"/>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678400" y="3076575"/>
          <a:ext cx="4801270" cy="1343212"/>
        </a:xfrm>
        <a:prstGeom prst="rect">
          <a:avLst/>
        </a:prstGeom>
      </xdr:spPr>
    </xdr:pic>
    <xdr:clientData/>
  </xdr:oneCellAnchor>
  <xdr:oneCellAnchor>
    <xdr:from>
      <xdr:col>37</xdr:col>
      <xdr:colOff>333375</xdr:colOff>
      <xdr:row>3</xdr:row>
      <xdr:rowOff>142875</xdr:rowOff>
    </xdr:from>
    <xdr:ext cx="4896533" cy="2591162"/>
    <xdr:pic>
      <xdr:nvPicPr>
        <xdr:cNvPr id="5" name="Immagine 4" descr="Ritaglio schermata"/>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2888575" y="714375"/>
          <a:ext cx="4896533" cy="2591162"/>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c/Progetto%20di%20Strutture%20in%20zona%20Sismica%20Ghersi/Spettri%20GEG%20-%20CD-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c/Progetto%20di%20Strutture%20in%20zona%20Sismica%20Ghersi/Progetto%20in%20zona%20sismica%20Variant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c/Costruzioni%20in%20zona%20sismica/Progetto%20GEG/Progetto%20Variante%20I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Pc/Costruzioni%20in%20zona%20sismica/Progetto%20GEG/Dimenzionamento%20combinazione%20di%20cari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 val="spettri"/>
      <sheetName val="Se"/>
      <sheetName val="Sd"/>
      <sheetName val="T"/>
      <sheetName val="val x spettri"/>
      <sheetName val="SLO"/>
      <sheetName val="SLD"/>
      <sheetName val="SLV"/>
      <sheetName val="SLC"/>
      <sheetName val="suolo A"/>
      <sheetName val="suolo B"/>
      <sheetName val="suolo C"/>
      <sheetName val="suolo D"/>
      <sheetName val="suolo E"/>
      <sheetName val="Fig SLD"/>
      <sheetName val="Fig SLV"/>
    </sheetNames>
    <sheetDataSet>
      <sheetData sheetId="0"/>
      <sheetData sheetId="1" refreshError="1"/>
      <sheetData sheetId="2">
        <row r="9">
          <cell r="N9" t="str">
            <v>A</v>
          </cell>
          <cell r="O9" t="str">
            <v>B</v>
          </cell>
          <cell r="P9" t="str">
            <v>C</v>
          </cell>
          <cell r="Q9" t="str">
            <v>D</v>
          </cell>
          <cell r="R9" t="str">
            <v>E</v>
          </cell>
          <cell r="S9" t="str">
            <v>vert</v>
          </cell>
        </row>
        <row r="25">
          <cell r="N25">
            <v>0.21999999999999997</v>
          </cell>
          <cell r="O25">
            <v>0.25882559999999999</v>
          </cell>
          <cell r="P25">
            <v>0.30023839999999996</v>
          </cell>
          <cell r="Q25">
            <v>0.3435959999999999</v>
          </cell>
          <cell r="R25">
            <v>0.3047704</v>
          </cell>
          <cell r="S25">
            <v>0.22</v>
          </cell>
        </row>
        <row r="26">
          <cell r="N26">
            <v>0.55879999999999996</v>
          </cell>
          <cell r="O26">
            <v>0.65741702400000002</v>
          </cell>
          <cell r="P26">
            <v>0.76260553599999992</v>
          </cell>
          <cell r="Q26">
            <v>0.87273383999999987</v>
          </cell>
          <cell r="R26">
            <v>0.77411681600000004</v>
          </cell>
          <cell r="S26">
            <v>0.35383558408955995</v>
          </cell>
        </row>
        <row r="27">
          <cell r="N27">
            <v>0.55879999999999996</v>
          </cell>
          <cell r="O27">
            <v>0.65741702400000002</v>
          </cell>
          <cell r="P27">
            <v>0.76260553599999992</v>
          </cell>
          <cell r="Q27">
            <v>0.87273383999999987</v>
          </cell>
          <cell r="R27">
            <v>0.77411681600000004</v>
          </cell>
          <cell r="S27">
            <v>0.35383558408955995</v>
          </cell>
        </row>
        <row r="28">
          <cell r="N28">
            <v>0.45705849582172697</v>
          </cell>
          <cell r="O28">
            <v>0.57054290585235934</v>
          </cell>
          <cell r="P28">
            <v>0.67217301009513564</v>
          </cell>
          <cell r="Q28">
            <v>0.80582550124074903</v>
          </cell>
          <cell r="R28">
            <v>0.6984834503199453</v>
          </cell>
          <cell r="S28">
            <v>0.29761871558934949</v>
          </cell>
        </row>
        <row r="29">
          <cell r="N29">
            <v>0.38665895458440447</v>
          </cell>
          <cell r="O29">
            <v>0.50394878830274592</v>
          </cell>
          <cell r="P29">
            <v>0.60091440410486952</v>
          </cell>
          <cell r="Q29">
            <v>0.74844573813874249</v>
          </cell>
          <cell r="R29">
            <v>0.63631382051761176</v>
          </cell>
          <cell r="S29">
            <v>0.25681614974242256</v>
          </cell>
        </row>
        <row r="30">
          <cell r="N30">
            <v>0.33505179134954521</v>
          </cell>
          <cell r="O30">
            <v>0.45127562128440868</v>
          </cell>
          <cell r="P30">
            <v>0.54331620431151362</v>
          </cell>
          <cell r="Q30">
            <v>0.69869437432864534</v>
          </cell>
          <cell r="R30">
            <v>0.58430667600788444</v>
          </cell>
          <cell r="S30">
            <v>0.22585250048269784</v>
          </cell>
        </row>
        <row r="31">
          <cell r="N31">
            <v>0.29559842777595807</v>
          </cell>
          <cell r="O31">
            <v>0.40857138379613728</v>
          </cell>
          <cell r="P31">
            <v>0.49579390162262088</v>
          </cell>
          <cell r="Q31">
            <v>0.65514498292591816</v>
          </cell>
          <cell r="R31">
            <v>0.54015849037774977</v>
          </cell>
          <cell r="S31">
            <v>0.20155191498772404</v>
          </cell>
        </row>
        <row r="32">
          <cell r="N32">
            <v>0.26445772893772895</v>
          </cell>
          <cell r="O32">
            <v>0.37325065341678176</v>
          </cell>
          <cell r="P32">
            <v>0.45591622339911769</v>
          </cell>
          <cell r="Q32">
            <v>0.61670590589458651</v>
          </cell>
          <cell r="R32">
            <v>0.50221301687033704</v>
          </cell>
          <cell r="S32">
            <v>0.18197258610320227</v>
          </cell>
        </row>
        <row r="33">
          <cell r="N33">
            <v>0.23925291622481443</v>
          </cell>
          <cell r="O33">
            <v>0.34355090144497641</v>
          </cell>
          <cell r="P33">
            <v>0.42197587424188332</v>
          </cell>
          <cell r="Q33">
            <v>0.5825274880344351</v>
          </cell>
          <cell r="R33">
            <v>0.46924885831542912</v>
          </cell>
          <cell r="S33">
            <v>0.16586043004198125</v>
          </cell>
        </row>
        <row r="34">
          <cell r="N34">
            <v>0.21843446690064139</v>
          </cell>
          <cell r="O34">
            <v>0.3182292330059876</v>
          </cell>
          <cell r="P34">
            <v>0.39273872747265992</v>
          </cell>
          <cell r="Q34">
            <v>0.55193853824038919</v>
          </cell>
          <cell r="R34">
            <v>0.44034554465126119</v>
          </cell>
          <cell r="S34">
            <v>0.15236939027780094</v>
          </cell>
        </row>
        <row r="35">
          <cell r="N35">
            <v>0.20094900912936983</v>
          </cell>
          <cell r="O35">
            <v>0.29638403283752257</v>
          </cell>
          <cell r="P35">
            <v>0.36729052610793583</v>
          </cell>
          <cell r="Q35">
            <v>0.52440181080337755</v>
          </cell>
          <cell r="R35">
            <v>0.41479623238569996</v>
          </cell>
          <cell r="S35">
            <v>0.14090797596486901</v>
          </cell>
        </row>
        <row r="36">
          <cell r="N36">
            <v>0.18605545820018554</v>
          </cell>
          <cell r="O36">
            <v>0.27734535220624074</v>
          </cell>
          <cell r="P36">
            <v>0.34493955666530923</v>
          </cell>
          <cell r="Q36">
            <v>0.49948217991164756</v>
          </cell>
          <cell r="R36">
            <v>0.39204912902007377</v>
          </cell>
          <cell r="S36">
            <v>0.13105021632946665</v>
          </cell>
        </row>
        <row r="37">
          <cell r="N37">
            <v>0.17321727447216889</v>
          </cell>
          <cell r="O37">
            <v>0.26060499280993743</v>
          </cell>
          <cell r="P37">
            <v>0.32515282045107297</v>
          </cell>
          <cell r="Q37">
            <v>0.47682347661766017</v>
          </cell>
          <cell r="R37">
            <v>0.37166718891599287</v>
          </cell>
          <cell r="S37">
            <v>0.12248154833869382</v>
          </cell>
        </row>
        <row r="38">
          <cell r="N38">
            <v>0.16203644851422927</v>
          </cell>
          <cell r="O38">
            <v>0.24577046985288378</v>
          </cell>
          <cell r="P38">
            <v>0.30751298144526512</v>
          </cell>
          <cell r="Q38">
            <v>0.45613135687029271</v>
          </cell>
          <cell r="R38">
            <v>0.35329975990724977</v>
          </cell>
          <cell r="S38">
            <v>0.11496463020960432</v>
          </cell>
        </row>
        <row r="39">
          <cell r="N39">
            <v>0.15221150278293136</v>
          </cell>
          <cell r="O39">
            <v>0.23253385176253427</v>
          </cell>
          <cell r="P39">
            <v>0.29168860675333041</v>
          </cell>
          <cell r="Q39">
            <v>0.43716044475045568</v>
          </cell>
          <cell r="R39">
            <v>0.33666224118281041</v>
          </cell>
          <cell r="S39">
            <v>0.1083170155376204</v>
          </cell>
        </row>
        <row r="40">
          <cell r="N40">
            <v>0.14350989902202432</v>
          </cell>
          <cell r="O40">
            <v>0.22065015462783188</v>
          </cell>
          <cell r="P40">
            <v>0.27741314578656695</v>
          </cell>
          <cell r="Q40">
            <v>0.4197045559430671</v>
          </cell>
          <cell r="R40">
            <v>0.32152123035468205</v>
          </cell>
          <cell r="S40">
            <v>0.10239614973652861</v>
          </cell>
        </row>
        <row r="41">
          <cell r="N41">
            <v>0.13574939831528279</v>
          </cell>
          <cell r="O41">
            <v>0.20992203947344554</v>
          </cell>
          <cell r="P41">
            <v>0.26446979409219046</v>
          </cell>
          <cell r="Q41">
            <v>0.40358917354322982</v>
          </cell>
          <cell r="R41">
            <v>0.3076835059946979</v>
          </cell>
          <cell r="S41">
            <v>9.7089032219696336E-2</v>
          </cell>
        </row>
        <row r="42">
          <cell r="N42">
            <v>0.12878515875847305</v>
          </cell>
          <cell r="O42">
            <v>0.20018876670312669</v>
          </cell>
          <cell r="P42">
            <v>0.25268040557437632</v>
          </cell>
          <cell r="Q42">
            <v>0.38866559320219901</v>
          </cell>
          <cell r="R42">
            <v>0.29498773781492565</v>
          </cell>
          <cell r="S42">
            <v>9.2304934979885206E-2</v>
          </cell>
        </row>
        <row r="43">
          <cell r="N43">
            <v>0.12250061083208905</v>
          </cell>
          <cell r="O43">
            <v>0.19131808721911356</v>
          </cell>
          <cell r="P43">
            <v>0.24189724374782257</v>
          </cell>
          <cell r="Q43">
            <v>0.37480632092885879</v>
          </cell>
          <cell r="R43">
            <v>0.28329816786748185</v>
          </cell>
          <cell r="S43">
            <v>8.7970172839945848E-2</v>
          </cell>
        </row>
        <row r="44">
          <cell r="N44">
            <v>0.1168008800880088</v>
          </cell>
          <cell r="O44">
            <v>0.18320019796719211</v>
          </cell>
          <cell r="P44">
            <v>0.23199675864294769</v>
          </cell>
          <cell r="Q44">
            <v>0.36190142163677347</v>
          </cell>
          <cell r="R44">
            <v>0.27249973686053025</v>
          </cell>
          <cell r="S44">
            <v>8.4024281182217414E-2</v>
          </cell>
        </row>
        <row r="45">
          <cell r="N45">
            <v>0.11160796438288399</v>
          </cell>
          <cell r="O45">
            <v>0.17574317369131515</v>
          </cell>
          <cell r="P45">
            <v>0.22287483183372123</v>
          </cell>
          <cell r="Q45">
            <v>0.34985559691902712</v>
          </cell>
          <cell r="R45">
            <v>0.26249428416518222</v>
          </cell>
          <cell r="S45">
            <v>8.0417178202172715E-2</v>
          </cell>
        </row>
        <row r="46">
          <cell r="N46">
            <v>0.10685714285714286</v>
          </cell>
          <cell r="O46">
            <v>0.16886947073310762</v>
          </cell>
          <cell r="P46">
            <v>0.2144431007972267</v>
          </cell>
          <cell r="Q46">
            <v>0.3385858276184297</v>
          </cell>
          <cell r="R46">
            <v>0.25319755532581878</v>
          </cell>
          <cell r="S46">
            <v>7.7107028009831463E-2</v>
          </cell>
        </row>
        <row r="47">
          <cell r="N47">
            <v>0.10249426462237365</v>
          </cell>
          <cell r="O47">
            <v>0.16251322041372004</v>
          </cell>
          <cell r="P47">
            <v>0.20662608719364542</v>
          </cell>
          <cell r="Q47">
            <v>0.32801945781268493</v>
          </cell>
          <cell r="R47">
            <v>0.24453682372681443</v>
          </cell>
          <cell r="S47">
            <v>7.4058610623396262E-2</v>
          </cell>
        </row>
        <row r="48">
          <cell r="N48">
            <v>9.8473675596049984E-2</v>
          </cell>
          <cell r="O48">
            <v>0.15661811150530841</v>
          </cell>
          <cell r="P48">
            <v>0.19935893114631809</v>
          </cell>
          <cell r="Q48">
            <v>0.31809262670493732</v>
          </cell>
          <cell r="R48">
            <v>0.2364489842268982</v>
          </cell>
          <cell r="S48">
            <v>7.1242063910649647E-2</v>
          </cell>
        </row>
        <row r="49">
          <cell r="N49">
            <v>9.4756614867702649E-2</v>
          </cell>
          <cell r="O49">
            <v>0.15113571744516965</v>
          </cell>
          <cell r="P49">
            <v>0.19258558739727555</v>
          </cell>
          <cell r="Q49">
            <v>0.30874897688411279</v>
          </cell>
          <cell r="R49">
            <v>0.22887901299004779</v>
          </cell>
          <cell r="S49">
            <v>6.8631902086337057E-2</v>
          </cell>
        </row>
        <row r="50">
          <cell r="N50">
            <v>9.130996104618809E-2</v>
          </cell>
          <cell r="O50">
            <v>0.14602416300117885</v>
          </cell>
          <cell r="P50">
            <v>0.18625737710019713</v>
          </cell>
          <cell r="Q50">
            <v>0.29993858375005811</v>
          </cell>
          <cell r="R50">
            <v>0.22177871399171539</v>
          </cell>
          <cell r="S50">
            <v>6.6206242345239905E-2</v>
          </cell>
        </row>
        <row r="51">
          <cell r="N51">
            <v>8.8105242604705647E-2</v>
          </cell>
          <cell r="O51">
            <v>0.14124705265362539</v>
          </cell>
          <cell r="P51">
            <v>0.18033181605146884</v>
          </cell>
          <cell r="Q51">
            <v>0.29161706315137947</v>
          </cell>
          <cell r="R51">
            <v>0.2151056918206686</v>
          </cell>
          <cell r="S51">
            <v>6.3946189895703609E-2</v>
          </cell>
        </row>
        <row r="52">
          <cell r="N52">
            <v>8.5117849563782128E-2</v>
          </cell>
          <cell r="O52">
            <v>0.13677260265854693</v>
          </cell>
          <cell r="P52">
            <v>0.17477165969558581</v>
          </cell>
          <cell r="Q52">
            <v>0.28374482355985903</v>
          </cell>
          <cell r="R52">
            <v>0.20882250450614978</v>
          </cell>
          <cell r="S52">
            <v>6.1835344792350276E-2</v>
          </cell>
        </row>
        <row r="53">
          <cell r="N53">
            <v>8.2326400291917526E-2</v>
          </cell>
          <cell r="O53">
            <v>0.13257293301358222</v>
          </cell>
          <cell r="P53">
            <v>0.16954411951781423</v>
          </cell>
          <cell r="Q53">
            <v>0.27628643618689003</v>
          </cell>
          <cell r="R53">
            <v>0.20289596060555076</v>
          </cell>
          <cell r="S53">
            <v>5.9859403323421802E-2</v>
          </cell>
        </row>
        <row r="54">
          <cell r="N54">
            <v>7.9712228944927771E-2</v>
          </cell>
          <cell r="O54">
            <v>0.12862348598103118</v>
          </cell>
          <cell r="P54">
            <v>0.1646202159820882</v>
          </cell>
          <cell r="Q54">
            <v>0.26921010189655753</v>
          </cell>
          <cell r="R54">
            <v>0.19729653268396369</v>
          </cell>
          <cell r="S54">
            <v>5.8005833457304909E-2</v>
          </cell>
        </row>
        <row r="55">
          <cell r="N55">
            <v>7.7258967554147767E-2</v>
          </cell>
          <cell r="O55">
            <v>0.12490254553996583</v>
          </cell>
          <cell r="P55">
            <v>0.15997424103871738</v>
          </cell>
          <cell r="Q55">
            <v>0.26248719799444575</v>
          </cell>
          <cell r="R55">
            <v>0.19199786530456928</v>
          </cell>
          <cell r="S55">
            <v>5.6263608777491862E-2</v>
          </cell>
        </row>
        <row r="56">
          <cell r="N56">
            <v>7.4952202981603766E-2</v>
          </cell>
          <cell r="O56">
            <v>0.12139083790363978</v>
          </cell>
          <cell r="P56">
            <v>0.15558330914979729</v>
          </cell>
          <cell r="Q56">
            <v>0.25609189126938214</v>
          </cell>
          <cell r="R56">
            <v>0.18697636022703276</v>
          </cell>
          <cell r="S56">
            <v>5.4622988967513539E-2</v>
          </cell>
        </row>
        <row r="57">
          <cell r="N57">
            <v>7.2779193548387092E-2</v>
          </cell>
          <cell r="O57">
            <v>0.11807119758411075</v>
          </cell>
          <cell r="P57">
            <v>0.15142698027938434</v>
          </cell>
          <cell r="Q57">
            <v>0.25000080625744425</v>
          </cell>
          <cell r="R57">
            <v>0.18221082503910482</v>
          </cell>
          <cell r="S57">
            <v>5.3075337613433991E-2</v>
          </cell>
        </row>
        <row r="58">
          <cell r="N58">
            <v>7.0786387727172009E-2</v>
          </cell>
          <cell r="O58">
            <v>0.11483822730247362</v>
          </cell>
          <cell r="P58">
            <v>0.14728067756459604</v>
          </cell>
          <cell r="Q58">
            <v>0.24315540116667375</v>
          </cell>
          <cell r="R58">
            <v>0.1772216134921959</v>
          </cell>
          <cell r="S58">
            <v>4.1321629629836161E-2</v>
          </cell>
        </row>
        <row r="59">
          <cell r="N59">
            <v>6.8874324350939237E-2</v>
          </cell>
          <cell r="O59">
            <v>0.11173624716664775</v>
          </cell>
          <cell r="P59">
            <v>0.14330237045442951</v>
          </cell>
          <cell r="Q59">
            <v>0.2365873511187474</v>
          </cell>
          <cell r="R59">
            <v>0.17243454965809613</v>
          </cell>
          <cell r="S59">
            <v>3.3080196573469944E-2</v>
          </cell>
        </row>
        <row r="60">
          <cell r="N60">
            <v>6.7038699690402465E-2</v>
          </cell>
          <cell r="O60">
            <v>0.10875827514720779</v>
          </cell>
          <cell r="P60">
            <v>0.13948310445656367</v>
          </cell>
          <cell r="Q60">
            <v>0.23028187255068475</v>
          </cell>
          <cell r="R60">
            <v>0.16783885867072407</v>
          </cell>
          <cell r="S60">
            <v>2.7079253884405102E-2</v>
          </cell>
        </row>
        <row r="61">
          <cell r="N61">
            <v>6.5275492987833972E-2</v>
          </cell>
          <cell r="O61">
            <v>0.10589778828536611</v>
          </cell>
          <cell r="P61">
            <v>0.13581451383937299</v>
          </cell>
          <cell r="Q61">
            <v>0.22422515392343603</v>
          </cell>
          <cell r="R61">
            <v>0.1634244741148429</v>
          </cell>
          <cell r="S61">
            <v>2.257457648964584E-2</v>
          </cell>
        </row>
        <row r="62">
          <cell r="N62">
            <v>6.3580944420595434E-2</v>
          </cell>
          <cell r="O62">
            <v>0.10314868694275131</v>
          </cell>
          <cell r="P62">
            <v>0.13228877578206558</v>
          </cell>
          <cell r="Q62">
            <v>0.21840428002531603</v>
          </cell>
          <cell r="R62">
            <v>0.15918198285530338</v>
          </cell>
          <cell r="S62">
            <v>1.9107121540836242E-2</v>
          </cell>
        </row>
        <row r="63">
          <cell r="N63">
            <v>6.1951535041099765E-2</v>
          </cell>
          <cell r="O63">
            <v>0.10050526225759142</v>
          </cell>
          <cell r="P63">
            <v>0.12889856863705385</v>
          </cell>
          <cell r="Q63">
            <v>0.21280716306459385</v>
          </cell>
          <cell r="R63">
            <v>0.15510257481450157</v>
          </cell>
          <cell r="S63">
            <v>1.6381277041183331E-2</v>
          </cell>
        </row>
        <row r="64">
          <cell r="N64">
            <v>6.0383968493180909E-2</v>
          </cell>
          <cell r="O64">
            <v>9.796216648280083E-2</v>
          </cell>
          <cell r="P64">
            <v>0.12563703388838265</v>
          </cell>
          <cell r="Q64">
            <v>0.20742247986414919</v>
          </cell>
          <cell r="R64">
            <v>0.15117799719727232</v>
          </cell>
          <cell r="S64">
            <v>1.4199703879931806E-2</v>
          </cell>
        </row>
        <row r="65">
          <cell r="N65">
            <v>5.8875154327338565E-2</v>
          </cell>
          <cell r="O65">
            <v>9.5514385917955261E-2</v>
          </cell>
          <cell r="P65">
            <v>0.12249774143683381</v>
          </cell>
          <cell r="Q65">
            <v>0.20223961454835732</v>
          </cell>
          <cell r="R65">
            <v>0.14740051271874424</v>
          </cell>
          <cell r="S65">
            <v>1.2426587890762385E-2</v>
          </cell>
        </row>
        <row r="66">
          <cell r="N66">
            <v>5.7422192757038124E-2</v>
          </cell>
          <cell r="O66">
            <v>9.31572161791204E-2</v>
          </cell>
          <cell r="P66">
            <v>0.11947465788334115</v>
          </cell>
          <cell r="Q66">
            <v>0.19724860618008386</v>
          </cell>
          <cell r="R66">
            <v>0.14376286144003722</v>
          </cell>
          <cell r="S66">
            <v>1.0965978845750823E-2</v>
          </cell>
        </row>
        <row r="67">
          <cell r="N67">
            <v>5.6022360715557135E-2</v>
          </cell>
          <cell r="O67">
            <v>9.0886239578584355E-2</v>
          </cell>
          <cell r="P67">
            <v>0.11656211751836908</v>
          </cell>
          <cell r="Q67">
            <v>0.19244010086513308</v>
          </cell>
          <cell r="R67">
            <v>0.1402582258600229</v>
          </cell>
          <cell r="S67">
            <v>9.7485313983858377E-3</v>
          </cell>
        </row>
        <row r="68">
          <cell r="N68">
            <v>5.467309908809731E-2</v>
          </cell>
          <cell r="O68">
            <v>8.8697304411247666E-2</v>
          </cell>
          <cell r="P68">
            <v>0.11375479575659041</v>
          </cell>
          <cell r="Q68">
            <v>0.18780530789380229</v>
          </cell>
          <cell r="R68">
            <v>0.13688019894949377</v>
          </cell>
          <cell r="S68">
            <v>8.7231197684606628E-3</v>
          </cell>
        </row>
        <row r="69">
          <cell r="N69">
            <v>5.3372001007295257E-2</v>
          </cell>
          <cell r="O69">
            <v>8.6586505966187249E-2</v>
          </cell>
          <cell r="P69">
            <v>0.11104768478410941</v>
          </cell>
          <cell r="Q69">
            <v>0.18333595953527357</v>
          </cell>
          <cell r="R69">
            <v>0.13362275484766928</v>
          </cell>
          <cell r="S69">
            <v>7.8513813037624242E-3</v>
          </cell>
        </row>
        <row r="70">
          <cell r="N70">
            <v>5.2116801112103719E-2</v>
          </cell>
          <cell r="O70">
            <v>8.455016910111629E-2</v>
          </cell>
          <cell r="P70">
            <v>0.10843607121010786</v>
          </cell>
          <cell r="Q70">
            <v>0.17902427414123973</v>
          </cell>
          <cell r="R70">
            <v>0.13048022197060749</v>
          </cell>
          <cell r="S70">
            <v>7.1040755282704626E-3</v>
          </cell>
        </row>
        <row r="71">
          <cell r="N71">
            <v>5.0905365680477203E-2</v>
          </cell>
          <cell r="O71">
            <v>8.2584832234435163E-2</v>
          </cell>
          <cell r="P71">
            <v>0.10591551553655956</v>
          </cell>
          <cell r="Q71">
            <v>0.17486292225109948</v>
          </cell>
          <cell r="R71">
            <v>0.12744725830728365</v>
          </cell>
          <cell r="S71">
            <v>6.4585997636682786E-3</v>
          </cell>
        </row>
        <row r="72">
          <cell r="N72">
            <v>4.9735683555555549E-2</v>
          </cell>
          <cell r="O72">
            <v>8.0687232624590516E-2</v>
          </cell>
          <cell r="P72">
            <v>0.10348183327892503</v>
          </cell>
          <cell r="Q72">
            <v>0.17084499542286499</v>
          </cell>
          <cell r="R72">
            <v>0.1245188287022789</v>
          </cell>
          <cell r="S72">
            <v>5.8972597348259988E-3</v>
          </cell>
        </row>
      </sheetData>
      <sheetData sheetId="3"/>
      <sheetData sheetId="4">
        <row r="25">
          <cell r="N25">
            <v>0</v>
          </cell>
          <cell r="O25">
            <v>0</v>
          </cell>
          <cell r="P25">
            <v>0</v>
          </cell>
          <cell r="Q25">
            <v>0</v>
          </cell>
          <cell r="R25">
            <v>0</v>
          </cell>
          <cell r="S25">
            <v>0</v>
          </cell>
        </row>
        <row r="26">
          <cell r="N26">
            <v>0.10766666666666667</v>
          </cell>
          <cell r="O26">
            <v>0.14846820172426536</v>
          </cell>
          <cell r="P26">
            <v>0.16414729650081863</v>
          </cell>
          <cell r="Q26">
            <v>0.23680453730638037</v>
          </cell>
          <cell r="R26">
            <v>0.19457995518554907</v>
          </cell>
          <cell r="S26">
            <v>0.05</v>
          </cell>
        </row>
        <row r="27">
          <cell r="N27">
            <v>0.32300000000000001</v>
          </cell>
          <cell r="O27">
            <v>0.44540460517279606</v>
          </cell>
          <cell r="P27">
            <v>0.49244188950245588</v>
          </cell>
          <cell r="Q27">
            <v>0.7104136119191411</v>
          </cell>
          <cell r="R27">
            <v>0.58373986555664725</v>
          </cell>
          <cell r="S27">
            <v>0.15</v>
          </cell>
        </row>
        <row r="28">
          <cell r="N28">
            <v>0.39490000000000003</v>
          </cell>
          <cell r="O28">
            <v>0.51322445166703623</v>
          </cell>
          <cell r="P28">
            <v>0.55869382651904065</v>
          </cell>
          <cell r="Q28">
            <v>0.76939982485516978</v>
          </cell>
          <cell r="R28">
            <v>0.64694853670475905</v>
          </cell>
          <cell r="S28">
            <v>0.17833333333333332</v>
          </cell>
        </row>
        <row r="29">
          <cell r="N29">
            <v>0.46679999999999999</v>
          </cell>
          <cell r="O29">
            <v>0.58104429816127634</v>
          </cell>
          <cell r="P29">
            <v>0.62494576353562548</v>
          </cell>
          <cell r="Q29">
            <v>0.82838603779119835</v>
          </cell>
          <cell r="R29">
            <v>0.71015720785287073</v>
          </cell>
          <cell r="S29">
            <v>0.20666666666666667</v>
          </cell>
        </row>
        <row r="30">
          <cell r="N30">
            <v>0.53869999999999996</v>
          </cell>
          <cell r="O30">
            <v>0.64886414465551645</v>
          </cell>
          <cell r="P30">
            <v>0.6911977005522103</v>
          </cell>
          <cell r="Q30">
            <v>0.88737225072722703</v>
          </cell>
          <cell r="R30">
            <v>0.77336587900098253</v>
          </cell>
          <cell r="S30">
            <v>0.23499999999999999</v>
          </cell>
        </row>
        <row r="31">
          <cell r="N31">
            <v>0.61060000000000003</v>
          </cell>
          <cell r="O31">
            <v>0.71668399114975656</v>
          </cell>
          <cell r="P31">
            <v>0.75744963756879513</v>
          </cell>
          <cell r="Q31">
            <v>0.9463584636632556</v>
          </cell>
          <cell r="R31">
            <v>0.83657455014909421</v>
          </cell>
          <cell r="S31">
            <v>0.26333333333333331</v>
          </cell>
        </row>
        <row r="32">
          <cell r="N32">
            <v>0.6825</v>
          </cell>
          <cell r="O32">
            <v>0.78450383764399667</v>
          </cell>
          <cell r="P32">
            <v>0.82370157458537996</v>
          </cell>
          <cell r="Q32">
            <v>1.0053446765992842</v>
          </cell>
          <cell r="R32">
            <v>0.899783221297206</v>
          </cell>
          <cell r="S32">
            <v>0.29166666666666663</v>
          </cell>
        </row>
        <row r="33">
          <cell r="N33">
            <v>0.75439999999999996</v>
          </cell>
          <cell r="O33">
            <v>0.85232368413823689</v>
          </cell>
          <cell r="P33">
            <v>0.88995351160196468</v>
          </cell>
          <cell r="Q33">
            <v>1.064330889535313</v>
          </cell>
          <cell r="R33">
            <v>0.9629918924453178</v>
          </cell>
          <cell r="S33">
            <v>0.31999999999999995</v>
          </cell>
        </row>
        <row r="34">
          <cell r="N34">
            <v>0.82630000000000003</v>
          </cell>
          <cell r="O34">
            <v>0.920143530632477</v>
          </cell>
          <cell r="P34">
            <v>0.95620544861854961</v>
          </cell>
          <cell r="Q34">
            <v>1.1233171024713415</v>
          </cell>
          <cell r="R34">
            <v>1.0262005635934295</v>
          </cell>
          <cell r="S34">
            <v>0.34833333333333333</v>
          </cell>
        </row>
        <row r="35">
          <cell r="N35">
            <v>0.89820000000000011</v>
          </cell>
          <cell r="O35">
            <v>0.98796337712671711</v>
          </cell>
          <cell r="P35">
            <v>1.0224573856351342</v>
          </cell>
          <cell r="Q35">
            <v>1.1823033154073701</v>
          </cell>
          <cell r="R35">
            <v>1.0894092347415412</v>
          </cell>
          <cell r="S35">
            <v>0.37666666666666665</v>
          </cell>
        </row>
        <row r="36">
          <cell r="N36">
            <v>0.97009999999999996</v>
          </cell>
          <cell r="O36">
            <v>1.0557832236209572</v>
          </cell>
          <cell r="P36">
            <v>1.088709322651719</v>
          </cell>
          <cell r="Q36">
            <v>1.2412895283433989</v>
          </cell>
          <cell r="R36">
            <v>1.1526179058896531</v>
          </cell>
          <cell r="S36">
            <v>0.40500000000000003</v>
          </cell>
        </row>
        <row r="37">
          <cell r="N37">
            <v>1.042</v>
          </cell>
          <cell r="O37">
            <v>1.1236030701151973</v>
          </cell>
          <cell r="P37">
            <v>1.1549612596683039</v>
          </cell>
          <cell r="Q37">
            <v>1.3002757412794272</v>
          </cell>
          <cell r="R37">
            <v>1.2158265770377648</v>
          </cell>
          <cell r="S37">
            <v>0.43333333333333335</v>
          </cell>
        </row>
        <row r="38">
          <cell r="N38">
            <v>1.1139000000000001</v>
          </cell>
          <cell r="O38">
            <v>1.1914229166094374</v>
          </cell>
          <cell r="P38">
            <v>1.2212131966848887</v>
          </cell>
          <cell r="Q38">
            <v>1.359261954215456</v>
          </cell>
          <cell r="R38">
            <v>1.2790352481858767</v>
          </cell>
          <cell r="S38">
            <v>0.46166666666666667</v>
          </cell>
        </row>
        <row r="39">
          <cell r="N39">
            <v>1.1858</v>
          </cell>
          <cell r="O39">
            <v>1.2592427631036776</v>
          </cell>
          <cell r="P39">
            <v>1.2874651337014735</v>
          </cell>
          <cell r="Q39">
            <v>1.4182481671514848</v>
          </cell>
          <cell r="R39">
            <v>1.3422439193339883</v>
          </cell>
          <cell r="S39">
            <v>0.49</v>
          </cell>
        </row>
        <row r="40">
          <cell r="N40">
            <v>1.2577</v>
          </cell>
          <cell r="O40">
            <v>1.3270626095979177</v>
          </cell>
          <cell r="P40">
            <v>1.3537170707180584</v>
          </cell>
          <cell r="Q40">
            <v>1.4772343800875132</v>
          </cell>
          <cell r="R40">
            <v>1.4054525904821</v>
          </cell>
          <cell r="S40">
            <v>0.51833333333333331</v>
          </cell>
        </row>
        <row r="41">
          <cell r="N41">
            <v>1.3295999999999999</v>
          </cell>
          <cell r="O41">
            <v>1.3948824560921578</v>
          </cell>
          <cell r="P41">
            <v>1.4199690077346432</v>
          </cell>
          <cell r="Q41">
            <v>1.536220593023542</v>
          </cell>
          <cell r="R41">
            <v>1.4686612616302119</v>
          </cell>
          <cell r="S41">
            <v>0.54666666666666663</v>
          </cell>
        </row>
        <row r="42">
          <cell r="N42">
            <v>1.4015000000000002</v>
          </cell>
          <cell r="O42">
            <v>1.4627023025863979</v>
          </cell>
          <cell r="P42">
            <v>1.486220944751228</v>
          </cell>
          <cell r="Q42">
            <v>1.5952068059595705</v>
          </cell>
          <cell r="R42">
            <v>1.5318699327783236</v>
          </cell>
          <cell r="S42">
            <v>0.57499999999999996</v>
          </cell>
        </row>
        <row r="43">
          <cell r="N43">
            <v>1.4734</v>
          </cell>
          <cell r="O43">
            <v>1.530522149080638</v>
          </cell>
          <cell r="P43">
            <v>1.5524728817678126</v>
          </cell>
          <cell r="Q43">
            <v>1.6541930188955991</v>
          </cell>
          <cell r="R43">
            <v>1.5950786039264353</v>
          </cell>
          <cell r="S43">
            <v>0.60333333333333328</v>
          </cell>
        </row>
        <row r="44">
          <cell r="N44">
            <v>1.5452999999999999</v>
          </cell>
          <cell r="O44">
            <v>1.5983419955748783</v>
          </cell>
          <cell r="P44">
            <v>1.6187248187843974</v>
          </cell>
          <cell r="Q44">
            <v>1.7131792318316279</v>
          </cell>
          <cell r="R44">
            <v>1.6582872750745472</v>
          </cell>
          <cell r="S44">
            <v>0.6316666666666666</v>
          </cell>
        </row>
        <row r="45">
          <cell r="N45">
            <v>1.6172</v>
          </cell>
          <cell r="O45">
            <v>1.6661618420691182</v>
          </cell>
          <cell r="P45">
            <v>1.6849767558009823</v>
          </cell>
          <cell r="Q45">
            <v>1.7721654447676565</v>
          </cell>
          <cell r="R45">
            <v>1.7214959462226589</v>
          </cell>
          <cell r="S45">
            <v>0.66</v>
          </cell>
        </row>
        <row r="46">
          <cell r="N46">
            <v>1.6891</v>
          </cell>
          <cell r="O46">
            <v>1.7339816885633585</v>
          </cell>
          <cell r="P46">
            <v>1.7512286928175671</v>
          </cell>
          <cell r="Q46">
            <v>1.831151657703685</v>
          </cell>
          <cell r="R46">
            <v>1.7847046173707706</v>
          </cell>
          <cell r="S46">
            <v>0.68833333333333335</v>
          </cell>
        </row>
        <row r="47">
          <cell r="N47">
            <v>1.7609999999999999</v>
          </cell>
          <cell r="O47">
            <v>1.8018015350575984</v>
          </cell>
          <cell r="P47">
            <v>1.8174806298341519</v>
          </cell>
          <cell r="Q47">
            <v>1.8901378706397136</v>
          </cell>
          <cell r="R47">
            <v>1.8479132885188823</v>
          </cell>
          <cell r="S47">
            <v>0.71666666666666667</v>
          </cell>
        </row>
        <row r="48">
          <cell r="N48">
            <v>1.8328999999999998</v>
          </cell>
          <cell r="O48">
            <v>1.8696213815518388</v>
          </cell>
          <cell r="P48">
            <v>1.8837325668507368</v>
          </cell>
          <cell r="Q48">
            <v>1.9491240835757424</v>
          </cell>
          <cell r="R48">
            <v>1.9111219596669942</v>
          </cell>
          <cell r="S48">
            <v>0.745</v>
          </cell>
        </row>
        <row r="49">
          <cell r="N49">
            <v>1.9048</v>
          </cell>
          <cell r="O49">
            <v>1.9374412280460787</v>
          </cell>
          <cell r="P49">
            <v>1.9499845038673216</v>
          </cell>
          <cell r="Q49">
            <v>2.008110296511771</v>
          </cell>
          <cell r="R49">
            <v>1.9743306308151058</v>
          </cell>
          <cell r="S49">
            <v>0.77333333333333332</v>
          </cell>
        </row>
        <row r="50">
          <cell r="N50">
            <v>1.9767000000000001</v>
          </cell>
          <cell r="O50">
            <v>2.0052610745403192</v>
          </cell>
          <cell r="P50">
            <v>2.0162364408839064</v>
          </cell>
          <cell r="Q50">
            <v>2.0670965094477998</v>
          </cell>
          <cell r="R50">
            <v>2.0375393019632178</v>
          </cell>
          <cell r="S50">
            <v>0.80166666666666675</v>
          </cell>
        </row>
        <row r="51">
          <cell r="N51">
            <v>2.0486</v>
          </cell>
          <cell r="O51">
            <v>2.0730809210345593</v>
          </cell>
          <cell r="P51">
            <v>2.082488377900491</v>
          </cell>
          <cell r="Q51">
            <v>2.1260827223838286</v>
          </cell>
          <cell r="R51">
            <v>2.1007479731113294</v>
          </cell>
          <cell r="S51">
            <v>0.83</v>
          </cell>
        </row>
        <row r="52">
          <cell r="N52">
            <v>2.1204999999999998</v>
          </cell>
          <cell r="O52">
            <v>2.1409007675287994</v>
          </cell>
          <cell r="P52">
            <v>2.1487403149170761</v>
          </cell>
          <cell r="Q52">
            <v>2.1850689353198565</v>
          </cell>
          <cell r="R52">
            <v>2.1639566442594411</v>
          </cell>
          <cell r="S52">
            <v>0.85833333333333339</v>
          </cell>
        </row>
        <row r="53">
          <cell r="N53">
            <v>2.1924000000000001</v>
          </cell>
          <cell r="O53">
            <v>2.2087206140230395</v>
          </cell>
          <cell r="P53">
            <v>2.2149922519336607</v>
          </cell>
          <cell r="Q53">
            <v>2.2440551482558853</v>
          </cell>
          <cell r="R53">
            <v>2.2271653154075528</v>
          </cell>
          <cell r="S53">
            <v>0.8866666666666666</v>
          </cell>
        </row>
        <row r="54">
          <cell r="N54">
            <v>2.2643000000000004</v>
          </cell>
          <cell r="O54">
            <v>2.2765404605172797</v>
          </cell>
          <cell r="P54">
            <v>2.2812441889502457</v>
          </cell>
          <cell r="Q54">
            <v>2.303041361191914</v>
          </cell>
          <cell r="R54">
            <v>2.2903739865556645</v>
          </cell>
          <cell r="S54">
            <v>0.91500000000000004</v>
          </cell>
        </row>
        <row r="55">
          <cell r="N55">
            <v>2.3361999999999998</v>
          </cell>
          <cell r="O55">
            <v>2.3443603070115198</v>
          </cell>
          <cell r="P55">
            <v>2.3474961259668308</v>
          </cell>
          <cell r="Q55">
            <v>2.3620275741279428</v>
          </cell>
          <cell r="R55">
            <v>2.3535826577037766</v>
          </cell>
          <cell r="S55">
            <v>0.94333333333333336</v>
          </cell>
        </row>
        <row r="56">
          <cell r="N56">
            <v>2.4080999999999997</v>
          </cell>
          <cell r="O56">
            <v>2.4121801535057599</v>
          </cell>
          <cell r="P56">
            <v>2.4137480629834154</v>
          </cell>
          <cell r="Q56">
            <v>2.4210137870639716</v>
          </cell>
          <cell r="R56">
            <v>2.4167913288518883</v>
          </cell>
          <cell r="S56">
            <v>0.97166666666666668</v>
          </cell>
        </row>
        <row r="57">
          <cell r="N57">
            <v>2.48</v>
          </cell>
          <cell r="O57">
            <v>2.48</v>
          </cell>
          <cell r="P57">
            <v>2.48</v>
          </cell>
          <cell r="Q57">
            <v>2.48</v>
          </cell>
          <cell r="R57">
            <v>2.48</v>
          </cell>
          <cell r="S57">
            <v>1</v>
          </cell>
        </row>
        <row r="58">
          <cell r="N58">
            <v>2.5146666666666668</v>
          </cell>
          <cell r="O58">
            <v>2.5146666666666668</v>
          </cell>
          <cell r="P58">
            <v>2.5146666666666668</v>
          </cell>
          <cell r="Q58">
            <v>2.5146666666666668</v>
          </cell>
          <cell r="R58">
            <v>2.5146666666666668</v>
          </cell>
          <cell r="S58">
            <v>1.1333333333333333</v>
          </cell>
        </row>
        <row r="59">
          <cell r="N59">
            <v>2.5493333333333332</v>
          </cell>
          <cell r="O59">
            <v>2.5493333333333332</v>
          </cell>
          <cell r="P59">
            <v>2.5493333333333332</v>
          </cell>
          <cell r="Q59">
            <v>2.5493333333333332</v>
          </cell>
          <cell r="R59">
            <v>2.5493333333333332</v>
          </cell>
          <cell r="S59">
            <v>1.2666666666666666</v>
          </cell>
        </row>
        <row r="60">
          <cell r="N60">
            <v>2.5840000000000001</v>
          </cell>
          <cell r="O60">
            <v>2.5840000000000001</v>
          </cell>
          <cell r="P60">
            <v>2.5840000000000001</v>
          </cell>
          <cell r="Q60">
            <v>2.5840000000000001</v>
          </cell>
          <cell r="R60">
            <v>2.5840000000000001</v>
          </cell>
          <cell r="S60">
            <v>1.4</v>
          </cell>
        </row>
        <row r="61">
          <cell r="N61">
            <v>2.6186666666666665</v>
          </cell>
          <cell r="O61">
            <v>2.6186666666666665</v>
          </cell>
          <cell r="P61">
            <v>2.6186666666666665</v>
          </cell>
          <cell r="Q61">
            <v>2.6186666666666665</v>
          </cell>
          <cell r="R61">
            <v>2.6186666666666665</v>
          </cell>
          <cell r="S61">
            <v>1.5333333333333332</v>
          </cell>
        </row>
        <row r="62">
          <cell r="N62">
            <v>2.6533333333333333</v>
          </cell>
          <cell r="O62">
            <v>2.6533333333333333</v>
          </cell>
          <cell r="P62">
            <v>2.6533333333333333</v>
          </cell>
          <cell r="Q62">
            <v>2.6533333333333333</v>
          </cell>
          <cell r="R62">
            <v>2.6533333333333333</v>
          </cell>
          <cell r="S62">
            <v>1.6666666666666665</v>
          </cell>
        </row>
        <row r="63">
          <cell r="N63">
            <v>2.6880000000000002</v>
          </cell>
          <cell r="O63">
            <v>2.6880000000000002</v>
          </cell>
          <cell r="P63">
            <v>2.6880000000000002</v>
          </cell>
          <cell r="Q63">
            <v>2.6880000000000002</v>
          </cell>
          <cell r="R63">
            <v>2.6880000000000002</v>
          </cell>
          <cell r="S63">
            <v>1.8</v>
          </cell>
        </row>
        <row r="64">
          <cell r="N64">
            <v>2.7226666666666666</v>
          </cell>
          <cell r="O64">
            <v>2.7226666666666666</v>
          </cell>
          <cell r="P64">
            <v>2.7226666666666666</v>
          </cell>
          <cell r="Q64">
            <v>2.7226666666666666</v>
          </cell>
          <cell r="R64">
            <v>2.7226666666666666</v>
          </cell>
          <cell r="S64">
            <v>1.9333333333333333</v>
          </cell>
        </row>
        <row r="65">
          <cell r="N65">
            <v>2.7573333333333334</v>
          </cell>
          <cell r="O65">
            <v>2.7573333333333334</v>
          </cell>
          <cell r="P65">
            <v>2.7573333333333334</v>
          </cell>
          <cell r="Q65">
            <v>2.7573333333333334</v>
          </cell>
          <cell r="R65">
            <v>2.7573333333333334</v>
          </cell>
          <cell r="S65">
            <v>2.0666666666666664</v>
          </cell>
        </row>
        <row r="66">
          <cell r="N66">
            <v>2.7919999999999998</v>
          </cell>
          <cell r="O66">
            <v>2.7919999999999998</v>
          </cell>
          <cell r="P66">
            <v>2.7919999999999998</v>
          </cell>
          <cell r="Q66">
            <v>2.7919999999999998</v>
          </cell>
          <cell r="R66">
            <v>2.7919999999999998</v>
          </cell>
          <cell r="S66">
            <v>2.2000000000000002</v>
          </cell>
        </row>
        <row r="67">
          <cell r="N67">
            <v>2.8266666666666667</v>
          </cell>
          <cell r="O67">
            <v>2.8266666666666667</v>
          </cell>
          <cell r="P67">
            <v>2.8266666666666667</v>
          </cell>
          <cell r="Q67">
            <v>2.8266666666666667</v>
          </cell>
          <cell r="R67">
            <v>2.8266666666666667</v>
          </cell>
          <cell r="S67">
            <v>2.333333333333333</v>
          </cell>
        </row>
        <row r="68">
          <cell r="N68">
            <v>2.8613333333333335</v>
          </cell>
          <cell r="O68">
            <v>2.8613333333333335</v>
          </cell>
          <cell r="P68">
            <v>2.8613333333333335</v>
          </cell>
          <cell r="Q68">
            <v>2.8613333333333335</v>
          </cell>
          <cell r="R68">
            <v>2.8613333333333335</v>
          </cell>
          <cell r="S68">
            <v>2.4666666666666668</v>
          </cell>
        </row>
        <row r="69">
          <cell r="N69">
            <v>2.8959999999999999</v>
          </cell>
          <cell r="O69">
            <v>2.8959999999999999</v>
          </cell>
          <cell r="P69">
            <v>2.8959999999999999</v>
          </cell>
          <cell r="Q69">
            <v>2.8959999999999999</v>
          </cell>
          <cell r="R69">
            <v>2.8959999999999999</v>
          </cell>
          <cell r="S69">
            <v>2.6</v>
          </cell>
        </row>
        <row r="70">
          <cell r="N70">
            <v>2.9306666666666668</v>
          </cell>
          <cell r="O70">
            <v>2.9306666666666668</v>
          </cell>
          <cell r="P70">
            <v>2.9306666666666668</v>
          </cell>
          <cell r="Q70">
            <v>2.9306666666666668</v>
          </cell>
          <cell r="R70">
            <v>2.9306666666666668</v>
          </cell>
          <cell r="S70">
            <v>2.7333333333333334</v>
          </cell>
        </row>
        <row r="71">
          <cell r="N71">
            <v>2.9653333333333332</v>
          </cell>
          <cell r="O71">
            <v>2.9653333333333332</v>
          </cell>
          <cell r="P71">
            <v>2.9653333333333332</v>
          </cell>
          <cell r="Q71">
            <v>2.9653333333333332</v>
          </cell>
          <cell r="R71">
            <v>2.9653333333333332</v>
          </cell>
          <cell r="S71">
            <v>2.8666666666666667</v>
          </cell>
        </row>
        <row r="72">
          <cell r="N72">
            <v>3</v>
          </cell>
          <cell r="O72">
            <v>3</v>
          </cell>
          <cell r="P72">
            <v>3</v>
          </cell>
          <cell r="Q72">
            <v>3</v>
          </cell>
          <cell r="R72">
            <v>3</v>
          </cell>
          <cell r="S72">
            <v>3</v>
          </cell>
        </row>
      </sheetData>
      <sheetData sheetId="5">
        <row r="5">
          <cell r="A5">
            <v>0</v>
          </cell>
          <cell r="B5">
            <v>0.1545</v>
          </cell>
          <cell r="C5">
            <v>0.1545</v>
          </cell>
          <cell r="E5">
            <v>0</v>
          </cell>
          <cell r="F5">
            <v>0.30023839999999996</v>
          </cell>
          <cell r="G5">
            <v>0.30023839999999996</v>
          </cell>
          <cell r="I5">
            <v>0</v>
          </cell>
          <cell r="J5">
            <v>0.22</v>
          </cell>
          <cell r="K5">
            <v>0.22000000000000006</v>
          </cell>
        </row>
        <row r="6">
          <cell r="A6">
            <v>0.13862751483462707</v>
          </cell>
          <cell r="B6">
            <v>0.39304800000000001</v>
          </cell>
          <cell r="C6">
            <v>0.26203199999999999</v>
          </cell>
          <cell r="E6">
            <v>0.16414729650081863</v>
          </cell>
          <cell r="F6">
            <v>0.76260553599999992</v>
          </cell>
          <cell r="G6">
            <v>0.13035992068376068</v>
          </cell>
          <cell r="I6">
            <v>0.05</v>
          </cell>
          <cell r="J6">
            <v>0.35383558408955995</v>
          </cell>
          <cell r="K6">
            <v>0.23589038939303997</v>
          </cell>
        </row>
        <row r="7">
          <cell r="A7">
            <v>0.41588254450388124</v>
          </cell>
          <cell r="B7">
            <v>0.39304800000000001</v>
          </cell>
          <cell r="C7">
            <v>0.26203199999999999</v>
          </cell>
          <cell r="E7">
            <v>0.49244188950245588</v>
          </cell>
          <cell r="F7">
            <v>0.76260553599999992</v>
          </cell>
          <cell r="G7">
            <v>0.13035992068376068</v>
          </cell>
          <cell r="I7">
            <v>0.15</v>
          </cell>
          <cell r="J7">
            <v>0.35383558408955995</v>
          </cell>
          <cell r="K7">
            <v>0.23589038939304</v>
          </cell>
        </row>
        <row r="8">
          <cell r="A8">
            <v>0.46908645968708518</v>
          </cell>
          <cell r="B8">
            <v>0.34846838781320277</v>
          </cell>
          <cell r="C8">
            <v>0.23231225854213519</v>
          </cell>
          <cell r="E8">
            <v>0.55869382651904065</v>
          </cell>
          <cell r="F8">
            <v>0.67217301009513564</v>
          </cell>
          <cell r="G8">
            <v>0.11490136924703173</v>
          </cell>
          <cell r="I8">
            <v>0.17833333333333332</v>
          </cell>
          <cell r="J8">
            <v>0.29761871558934949</v>
          </cell>
          <cell r="K8">
            <v>0.19841247705956636</v>
          </cell>
        </row>
        <row r="9">
          <cell r="A9">
            <v>0.52229037487028918</v>
          </cell>
          <cell r="B9">
            <v>0.31297111763309299</v>
          </cell>
          <cell r="C9">
            <v>0.20864741175539533</v>
          </cell>
          <cell r="E9">
            <v>0.62494576353562548</v>
          </cell>
          <cell r="F9">
            <v>0.60091440410486952</v>
          </cell>
          <cell r="G9">
            <v>0.10272041095809735</v>
          </cell>
          <cell r="I9">
            <v>0.20666666666666667</v>
          </cell>
          <cell r="J9">
            <v>0.25681614974242256</v>
          </cell>
          <cell r="K9">
            <v>0.17121076649494837</v>
          </cell>
        </row>
        <row r="10">
          <cell r="A10">
            <v>0.57549429005349317</v>
          </cell>
          <cell r="B10">
            <v>0.2840372270886779</v>
          </cell>
          <cell r="C10">
            <v>0.18935815139245193</v>
          </cell>
          <cell r="E10">
            <v>0.6911977005522103</v>
          </cell>
          <cell r="F10">
            <v>0.54331620431151362</v>
          </cell>
          <cell r="G10">
            <v>9.2874564839574972E-2</v>
          </cell>
          <cell r="I10">
            <v>0.23499999999999999</v>
          </cell>
          <cell r="J10">
            <v>0.22585250048269784</v>
          </cell>
          <cell r="K10">
            <v>0.15056833365513192</v>
          </cell>
        </row>
        <row r="11">
          <cell r="A11">
            <v>0.62869820523669706</v>
          </cell>
          <cell r="B11">
            <v>0.26000042785332939</v>
          </cell>
          <cell r="C11">
            <v>0.17333361856888624</v>
          </cell>
          <cell r="E11">
            <v>0.75744963756879513</v>
          </cell>
          <cell r="F11">
            <v>0.49579390162262088</v>
          </cell>
          <cell r="G11">
            <v>8.4751094294465118E-2</v>
          </cell>
          <cell r="I11">
            <v>0.26333333333333331</v>
          </cell>
          <cell r="J11">
            <v>0.20155191498772404</v>
          </cell>
          <cell r="K11">
            <v>0.13436794332514937</v>
          </cell>
        </row>
        <row r="12">
          <cell r="A12">
            <v>0.68190212041990106</v>
          </cell>
          <cell r="B12">
            <v>0.23971446554749698</v>
          </cell>
          <cell r="C12">
            <v>0.15980964369833131</v>
          </cell>
          <cell r="E12">
            <v>0.82370157458537996</v>
          </cell>
          <cell r="F12">
            <v>0.45591622339911769</v>
          </cell>
          <cell r="G12">
            <v>7.7934397162242333E-2</v>
          </cell>
          <cell r="I12">
            <v>0.29166666666666663</v>
          </cell>
          <cell r="J12">
            <v>0.18197258610320227</v>
          </cell>
          <cell r="K12">
            <v>0.12131505740213486</v>
          </cell>
        </row>
        <row r="13">
          <cell r="A13">
            <v>0.73510603560310495</v>
          </cell>
          <cell r="B13">
            <v>0.22236493027574195</v>
          </cell>
          <cell r="C13">
            <v>0.14824328685049462</v>
          </cell>
          <cell r="E13">
            <v>0.88995351160196468</v>
          </cell>
          <cell r="F13">
            <v>0.42197587424188332</v>
          </cell>
          <cell r="G13">
            <v>7.213262807553561E-2</v>
          </cell>
          <cell r="I13">
            <v>0.31999999999999995</v>
          </cell>
          <cell r="J13">
            <v>0.16586043004198125</v>
          </cell>
          <cell r="K13">
            <v>0.11057362002798751</v>
          </cell>
        </row>
        <row r="14">
          <cell r="A14">
            <v>0.78830995078630894</v>
          </cell>
          <cell r="B14">
            <v>0.20735727386050962</v>
          </cell>
          <cell r="C14">
            <v>0.13823818257367307</v>
          </cell>
          <cell r="E14">
            <v>0.95620544861854961</v>
          </cell>
          <cell r="F14">
            <v>0.39273872747265992</v>
          </cell>
          <cell r="G14">
            <v>6.71348252090017E-2</v>
          </cell>
          <cell r="I14">
            <v>0.34833333333333333</v>
          </cell>
          <cell r="J14">
            <v>0.15236939027780094</v>
          </cell>
          <cell r="K14">
            <v>0.10157959351853396</v>
          </cell>
        </row>
        <row r="15">
          <cell r="A15">
            <v>0.84151386596951294</v>
          </cell>
          <cell r="B15">
            <v>0.19424730710032476</v>
          </cell>
          <cell r="C15">
            <v>0.12949820473354984</v>
          </cell>
          <cell r="E15">
            <v>1.0224573856351342</v>
          </cell>
          <cell r="F15">
            <v>0.36729052610793583</v>
          </cell>
          <cell r="G15">
            <v>6.2784705317595862E-2</v>
          </cell>
          <cell r="I15">
            <v>0.37666666666666665</v>
          </cell>
          <cell r="J15">
            <v>0.14090797596486901</v>
          </cell>
          <cell r="K15">
            <v>9.3938650643246011E-2</v>
          </cell>
        </row>
        <row r="16">
          <cell r="A16">
            <v>0.89471778115271694</v>
          </cell>
          <cell r="B16">
            <v>0.18269649468859797</v>
          </cell>
          <cell r="C16">
            <v>0.12179766312573198</v>
          </cell>
          <cell r="E16">
            <v>1.088709322651719</v>
          </cell>
          <cell r="F16">
            <v>0.34493955666530923</v>
          </cell>
          <cell r="G16">
            <v>5.8964026780394745E-2</v>
          </cell>
          <cell r="I16">
            <v>0.40500000000000003</v>
          </cell>
          <cell r="J16">
            <v>0.13105021632946665</v>
          </cell>
          <cell r="K16">
            <v>8.7366810886311097E-2</v>
          </cell>
        </row>
        <row r="17">
          <cell r="A17">
            <v>0.94792169633592094</v>
          </cell>
          <cell r="B17">
            <v>0.17244230508068731</v>
          </cell>
          <cell r="C17">
            <v>0.1149615367204582</v>
          </cell>
          <cell r="E17">
            <v>1.1549612596683039</v>
          </cell>
          <cell r="F17">
            <v>0.32515282045107297</v>
          </cell>
          <cell r="G17">
            <v>5.5581678709585122E-2</v>
          </cell>
          <cell r="I17">
            <v>0.43333333333333335</v>
          </cell>
          <cell r="J17">
            <v>0.12248154833869382</v>
          </cell>
          <cell r="K17">
            <v>8.1654365559129222E-2</v>
          </cell>
        </row>
        <row r="18">
          <cell r="A18">
            <v>1.0011256115191247</v>
          </cell>
          <cell r="B18">
            <v>0.16327801473795267</v>
          </cell>
          <cell r="C18">
            <v>0.10885200982530177</v>
          </cell>
          <cell r="E18">
            <v>1.2212131966848887</v>
          </cell>
          <cell r="F18">
            <v>0.30751298144526512</v>
          </cell>
          <cell r="G18">
            <v>5.2566321614575237E-2</v>
          </cell>
          <cell r="I18">
            <v>0.46166666666666667</v>
          </cell>
          <cell r="J18">
            <v>0.11496463020960432</v>
          </cell>
          <cell r="K18">
            <v>7.6643086806402874E-2</v>
          </cell>
        </row>
        <row r="19">
          <cell r="A19">
            <v>1.0543295267023287</v>
          </cell>
          <cell r="B19">
            <v>0.15503862712014521</v>
          </cell>
          <cell r="C19">
            <v>0.10335908474676346</v>
          </cell>
          <cell r="E19">
            <v>1.2874651337014735</v>
          </cell>
          <cell r="F19">
            <v>0.29168860675333041</v>
          </cell>
          <cell r="G19">
            <v>4.9861300299714605E-2</v>
          </cell>
          <cell r="I19">
            <v>0.49</v>
          </cell>
          <cell r="J19">
            <v>0.1083170155376204</v>
          </cell>
          <cell r="K19">
            <v>7.2211343691746935E-2</v>
          </cell>
        </row>
        <row r="20">
          <cell r="A20">
            <v>1.1075334418855327</v>
          </cell>
          <cell r="B20">
            <v>0.14759085023552349</v>
          </cell>
          <cell r="C20">
            <v>9.8393900157015657E-2</v>
          </cell>
          <cell r="E20">
            <v>1.3537170707180584</v>
          </cell>
          <cell r="F20">
            <v>0.27741314578656695</v>
          </cell>
          <cell r="G20">
            <v>4.7421050561806316E-2</v>
          </cell>
          <cell r="I20">
            <v>0.51833333333333331</v>
          </cell>
          <cell r="J20">
            <v>0.10239614973652861</v>
          </cell>
          <cell r="K20">
            <v>6.8264099824352414E-2</v>
          </cell>
        </row>
        <row r="21">
          <cell r="A21">
            <v>1.1607373570687367</v>
          </cell>
          <cell r="B21">
            <v>0.14082583054357714</v>
          </cell>
          <cell r="C21">
            <v>9.3883887029051427E-2</v>
          </cell>
          <cell r="E21">
            <v>1.4199690077346432</v>
          </cell>
          <cell r="F21">
            <v>0.26446979409219046</v>
          </cell>
          <cell r="G21">
            <v>4.5208511810630847E-2</v>
          </cell>
          <cell r="I21">
            <v>0.54666666666666663</v>
          </cell>
          <cell r="J21">
            <v>9.7089032219696336E-2</v>
          </cell>
          <cell r="K21">
            <v>6.4726021479797557E-2</v>
          </cell>
        </row>
        <row r="22">
          <cell r="A22">
            <v>1.2139412722519407</v>
          </cell>
          <cell r="B22">
            <v>0.13465379758357596</v>
          </cell>
          <cell r="C22">
            <v>8.9769198389050647E-2</v>
          </cell>
          <cell r="E22">
            <v>1.486220944751228</v>
          </cell>
          <cell r="F22">
            <v>0.25268040557437632</v>
          </cell>
          <cell r="G22">
            <v>4.4000000000000004E-2</v>
          </cell>
          <cell r="I22">
            <v>0.57499999999999996</v>
          </cell>
          <cell r="J22">
            <v>9.2304934979885206E-2</v>
          </cell>
          <cell r="K22">
            <v>6.1536623319923475E-2</v>
          </cell>
        </row>
        <row r="23">
          <cell r="A23">
            <v>1.2671451874351447</v>
          </cell>
          <cell r="B23">
            <v>0.12900005774636447</v>
          </cell>
          <cell r="C23">
            <v>8.6000038497576314E-2</v>
          </cell>
          <cell r="E23">
            <v>1.5524728817678126</v>
          </cell>
          <cell r="F23">
            <v>0.24189724374782257</v>
          </cell>
          <cell r="G23">
            <v>4.4000000000000004E-2</v>
          </cell>
          <cell r="I23">
            <v>0.60333333333333328</v>
          </cell>
          <cell r="J23">
            <v>8.7970172839945848E-2</v>
          </cell>
          <cell r="K23">
            <v>5.8646781893297237E-2</v>
          </cell>
        </row>
        <row r="24">
          <cell r="A24">
            <v>1.3203491026183487</v>
          </cell>
          <cell r="B24">
            <v>0.12380195664010739</v>
          </cell>
          <cell r="C24">
            <v>8.2534637760071597E-2</v>
          </cell>
          <cell r="E24">
            <v>1.6187248187843974</v>
          </cell>
          <cell r="F24">
            <v>0.23199675864294769</v>
          </cell>
          <cell r="G24">
            <v>4.4000000000000004E-2</v>
          </cell>
          <cell r="I24">
            <v>0.6316666666666666</v>
          </cell>
          <cell r="J24">
            <v>8.4024281182217414E-2</v>
          </cell>
          <cell r="K24">
            <v>5.6016187454811607E-2</v>
          </cell>
        </row>
        <row r="25">
          <cell r="A25">
            <v>1.3735530178015525</v>
          </cell>
          <cell r="B25">
            <v>0.11900654742384183</v>
          </cell>
          <cell r="C25">
            <v>7.9337698282561209E-2</v>
          </cell>
          <cell r="E25">
            <v>1.6849767558009823</v>
          </cell>
          <cell r="F25">
            <v>0.22287483183372123</v>
          </cell>
          <cell r="G25">
            <v>4.4000000000000004E-2</v>
          </cell>
          <cell r="I25">
            <v>0.66</v>
          </cell>
          <cell r="J25">
            <v>8.0417178202172715E-2</v>
          </cell>
          <cell r="K25">
            <v>5.3611452134781808E-2</v>
          </cell>
        </row>
        <row r="26">
          <cell r="A26">
            <v>1.4267569329847565</v>
          </cell>
          <cell r="B26">
            <v>0.11456878082954298</v>
          </cell>
          <cell r="C26">
            <v>7.6379187219695319E-2</v>
          </cell>
          <cell r="E26">
            <v>1.7512286928175671</v>
          </cell>
          <cell r="F26">
            <v>0.2144431007972267</v>
          </cell>
          <cell r="G26">
            <v>4.4000000000000004E-2</v>
          </cell>
          <cell r="I26">
            <v>0.68833333333333335</v>
          </cell>
          <cell r="J26">
            <v>7.7107028009831463E-2</v>
          </cell>
          <cell r="K26">
            <v>5.1404685339887644E-2</v>
          </cell>
        </row>
        <row r="27">
          <cell r="A27">
            <v>1.4799608481679605</v>
          </cell>
          <cell r="B27">
            <v>0.11045008559146037</v>
          </cell>
          <cell r="C27">
            <v>7.3633390394306913E-2</v>
          </cell>
          <cell r="E27">
            <v>1.8174806298341519</v>
          </cell>
          <cell r="F27">
            <v>0.20662608719364542</v>
          </cell>
          <cell r="G27">
            <v>4.4000000000000004E-2</v>
          </cell>
          <cell r="I27">
            <v>0.71666666666666667</v>
          </cell>
          <cell r="J27">
            <v>7.4058610623396262E-2</v>
          </cell>
          <cell r="K27">
            <v>4.9372407082264182E-2</v>
          </cell>
        </row>
        <row r="28">
          <cell r="A28">
            <v>1.5331647633511643</v>
          </cell>
          <cell r="B28">
            <v>0.10661724444727624</v>
          </cell>
          <cell r="C28">
            <v>7.1078162964850825E-2</v>
          </cell>
          <cell r="E28">
            <v>1.8837325668507368</v>
          </cell>
          <cell r="F28">
            <v>0.19935893114631809</v>
          </cell>
          <cell r="G28">
            <v>4.4000000000000004E-2</v>
          </cell>
          <cell r="I28">
            <v>0.745</v>
          </cell>
          <cell r="J28">
            <v>7.1242063910649647E-2</v>
          </cell>
          <cell r="K28">
            <v>4.7494709273766436E-2</v>
          </cell>
        </row>
        <row r="29">
          <cell r="A29">
            <v>1.5863686785343682</v>
          </cell>
          <cell r="B29">
            <v>0.10304149632050376</v>
          </cell>
          <cell r="C29">
            <v>6.869433088033583E-2</v>
          </cell>
          <cell r="E29">
            <v>1.9499845038673216</v>
          </cell>
          <cell r="F29">
            <v>0.19258558739727555</v>
          </cell>
          <cell r="G29">
            <v>4.4000000000000004E-2</v>
          </cell>
          <cell r="I29">
            <v>0.77333333333333332</v>
          </cell>
          <cell r="J29">
            <v>6.8631902086337057E-2</v>
          </cell>
          <cell r="K29">
            <v>4.5754601390891374E-2</v>
          </cell>
        </row>
        <row r="30">
          <cell r="A30">
            <v>1.6395725937175722</v>
          </cell>
          <cell r="B30">
            <v>9.9697813307264238E-2</v>
          </cell>
          <cell r="C30">
            <v>6.6465208871509487E-2</v>
          </cell>
          <cell r="E30">
            <v>2.0162364408839064</v>
          </cell>
          <cell r="F30">
            <v>0.18625737710019713</v>
          </cell>
          <cell r="G30">
            <v>4.4000000000000004E-2</v>
          </cell>
          <cell r="I30">
            <v>0.80166666666666675</v>
          </cell>
          <cell r="J30">
            <v>6.6206242345239905E-2</v>
          </cell>
          <cell r="K30">
            <v>4.4137494896826605E-2</v>
          </cell>
        </row>
        <row r="31">
          <cell r="A31">
            <v>1.6927765089007762</v>
          </cell>
          <cell r="B31">
            <v>9.6564314008768526E-2</v>
          </cell>
          <cell r="C31">
            <v>6.4376209339179022E-2</v>
          </cell>
          <cell r="E31">
            <v>2.082488377900491</v>
          </cell>
          <cell r="F31">
            <v>0.18033181605146884</v>
          </cell>
          <cell r="G31">
            <v>4.4000000000000004E-2</v>
          </cell>
          <cell r="I31">
            <v>0.83</v>
          </cell>
          <cell r="J31">
            <v>6.3946189895703609E-2</v>
          </cell>
          <cell r="K31">
            <v>4.2630793263802411E-2</v>
          </cell>
        </row>
        <row r="32">
          <cell r="A32">
            <v>1.7459804240839802</v>
          </cell>
          <cell r="B32">
            <v>9.3621784126199994E-2</v>
          </cell>
          <cell r="C32">
            <v>6.2414522750799992E-2</v>
          </cell>
          <cell r="E32">
            <v>2.1487403149170761</v>
          </cell>
          <cell r="F32">
            <v>0.17477165969558581</v>
          </cell>
          <cell r="G32">
            <v>4.4000000000000004E-2</v>
          </cell>
          <cell r="I32">
            <v>0.85833333333333339</v>
          </cell>
          <cell r="J32">
            <v>6.1835344792350276E-2</v>
          </cell>
          <cell r="K32">
            <v>4.1223563194900184E-2</v>
          </cell>
        </row>
        <row r="33">
          <cell r="A33">
            <v>1.799184339267184</v>
          </cell>
          <cell r="B33">
            <v>9.0853282114905606E-2</v>
          </cell>
          <cell r="C33">
            <v>6.0568854743270402E-2</v>
          </cell>
          <cell r="E33">
            <v>2.2149922519336607</v>
          </cell>
          <cell r="F33">
            <v>0.16954411951781423</v>
          </cell>
          <cell r="G33">
            <v>4.4000000000000004E-2</v>
          </cell>
          <cell r="I33">
            <v>0.8866666666666666</v>
          </cell>
          <cell r="J33">
            <v>5.9859403323421802E-2</v>
          </cell>
          <cell r="K33">
            <v>3.9906268882281201E-2</v>
          </cell>
        </row>
        <row r="34">
          <cell r="A34">
            <v>1.852388254450388</v>
          </cell>
          <cell r="B34">
            <v>8.8243812796503271E-2</v>
          </cell>
          <cell r="C34">
            <v>5.8829208531002181E-2</v>
          </cell>
          <cell r="E34">
            <v>2.2812441889502457</v>
          </cell>
          <cell r="F34">
            <v>0.1646202159820882</v>
          </cell>
          <cell r="G34">
            <v>4.4000000000000004E-2</v>
          </cell>
          <cell r="I34">
            <v>0.91500000000000004</v>
          </cell>
          <cell r="J34">
            <v>5.8005833457304909E-2</v>
          </cell>
          <cell r="K34">
            <v>3.867055563820327E-2</v>
          </cell>
        </row>
        <row r="35">
          <cell r="A35">
            <v>1.905592169633592</v>
          </cell>
          <cell r="B35">
            <v>8.5780055647264764E-2</v>
          </cell>
          <cell r="C35">
            <v>5.7186703764843173E-2</v>
          </cell>
          <cell r="E35">
            <v>2.3474961259668308</v>
          </cell>
          <cell r="F35">
            <v>0.15997424103871738</v>
          </cell>
          <cell r="G35">
            <v>4.4000000000000004E-2</v>
          </cell>
          <cell r="I35">
            <v>0.94333333333333336</v>
          </cell>
          <cell r="J35">
            <v>5.6263608777491862E-2</v>
          </cell>
          <cell r="K35">
            <v>3.7509072518327913E-2</v>
          </cell>
        </row>
        <row r="36">
          <cell r="A36">
            <v>1.9587960848167962</v>
          </cell>
          <cell r="B36">
            <v>8.3450137367131749E-2</v>
          </cell>
          <cell r="C36">
            <v>5.5633424911421168E-2</v>
          </cell>
          <cell r="E36">
            <v>2.4137480629834154</v>
          </cell>
          <cell r="F36">
            <v>0.15558330914979729</v>
          </cell>
          <cell r="G36">
            <v>4.4000000000000004E-2</v>
          </cell>
          <cell r="I36">
            <v>0.97166666666666668</v>
          </cell>
          <cell r="J36">
            <v>5.4622988967513539E-2</v>
          </cell>
          <cell r="K36">
            <v>3.6415325978342364E-2</v>
          </cell>
        </row>
        <row r="37">
          <cell r="A37">
            <v>2.012</v>
          </cell>
          <cell r="B37">
            <v>8.124344053288346E-2</v>
          </cell>
          <cell r="C37">
            <v>5.4162293688588971E-2</v>
          </cell>
          <cell r="E37">
            <v>2.48</v>
          </cell>
          <cell r="F37">
            <v>0.15142698027938434</v>
          </cell>
          <cell r="G37">
            <v>4.4000000000000004E-2</v>
          </cell>
          <cell r="I37">
            <v>1</v>
          </cell>
          <cell r="J37">
            <v>5.3075337613433991E-2</v>
          </cell>
          <cell r="K37">
            <v>3.5383558408955997E-2</v>
          </cell>
        </row>
        <row r="38">
          <cell r="A38">
            <v>2.0778666666666665</v>
          </cell>
          <cell r="B38">
            <v>7.617437635289652E-2</v>
          </cell>
          <cell r="C38">
            <v>5.078291756859768E-2</v>
          </cell>
          <cell r="E38">
            <v>2.5146666666666668</v>
          </cell>
          <cell r="F38">
            <v>0.14728067756459604</v>
          </cell>
          <cell r="G38">
            <v>4.4000000000000004E-2</v>
          </cell>
          <cell r="I38">
            <v>1.1333333333333333</v>
          </cell>
          <cell r="J38">
            <v>4.1321629629836161E-2</v>
          </cell>
          <cell r="K38">
            <v>2.754775308655744E-2</v>
          </cell>
        </row>
        <row r="39">
          <cell r="A39">
            <v>2.1437333333333335</v>
          </cell>
          <cell r="B39">
            <v>7.1565339802853872E-2</v>
          </cell>
          <cell r="C39">
            <v>4.7710226535235913E-2</v>
          </cell>
          <cell r="E39">
            <v>2.5493333333333332</v>
          </cell>
          <cell r="F39">
            <v>0.14330237045442951</v>
          </cell>
          <cell r="G39">
            <v>4.4000000000000004E-2</v>
          </cell>
          <cell r="I39">
            <v>1.2666666666666666</v>
          </cell>
          <cell r="J39">
            <v>3.3080196573469944E-2</v>
          </cell>
          <cell r="K39">
            <v>2.2053464382313297E-2</v>
          </cell>
        </row>
        <row r="40">
          <cell r="A40">
            <v>2.2096</v>
          </cell>
          <cell r="B40">
            <v>6.7362304643473703E-2</v>
          </cell>
          <cell r="C40">
            <v>4.4908203095649128E-2</v>
          </cell>
          <cell r="E40">
            <v>2.5840000000000001</v>
          </cell>
          <cell r="F40">
            <v>0.13948310445656367</v>
          </cell>
          <cell r="G40">
            <v>4.4000000000000004E-2</v>
          </cell>
          <cell r="I40">
            <v>1.4</v>
          </cell>
          <cell r="J40">
            <v>2.7079253884405102E-2</v>
          </cell>
          <cell r="K40">
            <v>1.8052835922936734E-2</v>
          </cell>
        </row>
        <row r="41">
          <cell r="A41">
            <v>2.2754666666666665</v>
          </cell>
          <cell r="B41">
            <v>6.3518949034705896E-2</v>
          </cell>
          <cell r="C41">
            <v>4.2345966023137262E-2</v>
          </cell>
          <cell r="E41">
            <v>2.6186666666666665</v>
          </cell>
          <cell r="F41">
            <v>0.13581451383937299</v>
          </cell>
          <cell r="G41">
            <v>4.4000000000000004E-2</v>
          </cell>
          <cell r="I41">
            <v>1.5333333333333332</v>
          </cell>
          <cell r="J41">
            <v>2.257457648964584E-2</v>
          </cell>
          <cell r="K41">
            <v>1.5049717659763893E-2</v>
          </cell>
        </row>
        <row r="42">
          <cell r="A42">
            <v>2.3413333333333335</v>
          </cell>
          <cell r="B42">
            <v>5.9995373756641324E-2</v>
          </cell>
          <cell r="C42">
            <v>3.9996915837760882E-2</v>
          </cell>
          <cell r="E42">
            <v>2.6533333333333333</v>
          </cell>
          <cell r="F42">
            <v>0.13228877578206558</v>
          </cell>
          <cell r="G42">
            <v>4.4000000000000004E-2</v>
          </cell>
          <cell r="I42">
            <v>1.6666666666666665</v>
          </cell>
          <cell r="J42">
            <v>1.9107121540836242E-2</v>
          </cell>
          <cell r="K42">
            <v>1.273808102722416E-2</v>
          </cell>
        </row>
        <row r="43">
          <cell r="A43">
            <v>2.4072</v>
          </cell>
          <cell r="B43">
            <v>5.6757062494206506E-2</v>
          </cell>
          <cell r="C43">
            <v>3.7838041662804335E-2</v>
          </cell>
          <cell r="E43">
            <v>2.6880000000000002</v>
          </cell>
          <cell r="F43">
            <v>0.12889856863705385</v>
          </cell>
          <cell r="G43">
            <v>4.4000000000000004E-2</v>
          </cell>
          <cell r="I43">
            <v>1.8</v>
          </cell>
          <cell r="J43">
            <v>1.6381277041183331E-2</v>
          </cell>
          <cell r="K43">
            <v>1.0920851360788887E-2</v>
          </cell>
        </row>
        <row r="44">
          <cell r="A44">
            <v>2.4730666666666665</v>
          </cell>
          <cell r="B44">
            <v>5.377403331676419E-2</v>
          </cell>
          <cell r="C44">
            <v>3.5849355544509458E-2</v>
          </cell>
          <cell r="E44">
            <v>2.7226666666666666</v>
          </cell>
          <cell r="F44">
            <v>0.12563703388838265</v>
          </cell>
          <cell r="G44">
            <v>4.4000000000000004E-2</v>
          </cell>
          <cell r="I44">
            <v>1.9333333333333333</v>
          </cell>
          <cell r="J44">
            <v>1.4199703879931806E-2</v>
          </cell>
          <cell r="K44">
            <v>9.4664692532878715E-3</v>
          </cell>
        </row>
        <row r="45">
          <cell r="A45">
            <v>2.5389333333333335</v>
          </cell>
          <cell r="B45">
            <v>5.1020142201444671E-2</v>
          </cell>
          <cell r="C45">
            <v>3.4013428134296447E-2</v>
          </cell>
          <cell r="E45">
            <v>2.7573333333333334</v>
          </cell>
          <cell r="F45">
            <v>0.12249774143683381</v>
          </cell>
          <cell r="G45">
            <v>4.4000000000000004E-2</v>
          </cell>
          <cell r="I45">
            <v>2.0666666666666664</v>
          </cell>
          <cell r="J45">
            <v>1.2426587890762385E-2</v>
          </cell>
          <cell r="K45">
            <v>8.284391927174924E-3</v>
          </cell>
        </row>
        <row r="46">
          <cell r="A46">
            <v>2.6048</v>
          </cell>
          <cell r="B46">
            <v>4.8472508242636513E-2</v>
          </cell>
          <cell r="C46">
            <v>3.2315005495091004E-2</v>
          </cell>
          <cell r="E46">
            <v>2.7919999999999998</v>
          </cell>
          <cell r="F46">
            <v>0.11947465788334115</v>
          </cell>
          <cell r="G46">
            <v>4.4000000000000004E-2</v>
          </cell>
          <cell r="I46">
            <v>2.2000000000000002</v>
          </cell>
          <cell r="J46">
            <v>1.0965978845750823E-2</v>
          </cell>
          <cell r="K46">
            <v>7.3106525638338823E-3</v>
          </cell>
        </row>
        <row r="47">
          <cell r="A47">
            <v>2.6706666666666665</v>
          </cell>
          <cell r="B47">
            <v>4.6111036842653844E-2</v>
          </cell>
          <cell r="C47">
            <v>3.0740691228435892E-2</v>
          </cell>
          <cell r="E47">
            <v>2.8266666666666667</v>
          </cell>
          <cell r="F47">
            <v>0.11656211751836908</v>
          </cell>
          <cell r="G47">
            <v>4.4000000000000004E-2</v>
          </cell>
          <cell r="I47">
            <v>2.333333333333333</v>
          </cell>
          <cell r="J47">
            <v>9.7485313983858377E-3</v>
          </cell>
          <cell r="K47">
            <v>6.4990209322572257E-3</v>
          </cell>
        </row>
        <row r="48">
          <cell r="A48">
            <v>2.7365333333333335</v>
          </cell>
          <cell r="B48">
            <v>4.3918022249925366E-2</v>
          </cell>
          <cell r="C48">
            <v>2.9278681499950242E-2</v>
          </cell>
          <cell r="E48">
            <v>2.8613333333333335</v>
          </cell>
          <cell r="F48">
            <v>0.11375479575659041</v>
          </cell>
          <cell r="G48">
            <v>4.4000000000000004E-2</v>
          </cell>
          <cell r="I48">
            <v>2.4666666666666668</v>
          </cell>
          <cell r="J48">
            <v>8.7231197684606628E-3</v>
          </cell>
          <cell r="K48">
            <v>5.8154131789737752E-3</v>
          </cell>
        </row>
        <row r="49">
          <cell r="A49">
            <v>2.8024</v>
          </cell>
          <cell r="B49">
            <v>4.187781470493647E-2</v>
          </cell>
          <cell r="C49">
            <v>2.7918543136624313E-2</v>
          </cell>
          <cell r="E49">
            <v>2.8959999999999999</v>
          </cell>
          <cell r="F49">
            <v>0.11104768478410941</v>
          </cell>
          <cell r="G49">
            <v>4.4000000000000004E-2</v>
          </cell>
          <cell r="I49">
            <v>2.6</v>
          </cell>
          <cell r="J49">
            <v>7.8513813037624242E-3</v>
          </cell>
          <cell r="K49">
            <v>5.2342542025082834E-3</v>
          </cell>
        </row>
        <row r="50">
          <cell r="A50">
            <v>2.8682666666666665</v>
          </cell>
          <cell r="B50">
            <v>3.9976540464476767E-2</v>
          </cell>
          <cell r="C50">
            <v>2.6651026976317844E-2</v>
          </cell>
          <cell r="E50">
            <v>2.9306666666666668</v>
          </cell>
          <cell r="F50">
            <v>0.10843607121010786</v>
          </cell>
          <cell r="G50">
            <v>4.4000000000000004E-2</v>
          </cell>
          <cell r="I50">
            <v>2.7333333333333334</v>
          </cell>
          <cell r="J50">
            <v>7.1040755282704626E-3</v>
          </cell>
          <cell r="K50">
            <v>4.7360503521803087E-3</v>
          </cell>
        </row>
        <row r="51">
          <cell r="A51">
            <v>2.9341333333333335</v>
          </cell>
          <cell r="B51">
            <v>3.8201865317138435E-2</v>
          </cell>
          <cell r="C51">
            <v>2.546791021142562E-2</v>
          </cell>
          <cell r="E51">
            <v>2.9653333333333332</v>
          </cell>
          <cell r="F51">
            <v>0.10591551553655956</v>
          </cell>
          <cell r="G51">
            <v>4.4000000000000004E-2</v>
          </cell>
          <cell r="I51">
            <v>2.8666666666666667</v>
          </cell>
          <cell r="J51">
            <v>6.4585997636682786E-3</v>
          </cell>
          <cell r="K51">
            <v>4.3057331757788532E-3</v>
          </cell>
        </row>
        <row r="52">
          <cell r="A52">
            <v>3</v>
          </cell>
          <cell r="B52">
            <v>3.6542794036949884E-2</v>
          </cell>
          <cell r="C52">
            <v>2.4361862691299922E-2</v>
          </cell>
          <cell r="E52">
            <v>3</v>
          </cell>
          <cell r="F52">
            <v>0.10348183327892503</v>
          </cell>
          <cell r="G52">
            <v>4.4000000000000004E-2</v>
          </cell>
          <cell r="I52">
            <v>3</v>
          </cell>
          <cell r="J52">
            <v>5.8972597348259988E-3</v>
          </cell>
          <cell r="K52">
            <v>3.9315064898839992E-3</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Carichi unitari"/>
      <sheetName val="Dati (CD&quot;B&quot;) "/>
      <sheetName val="Forze Orizzontali CD&quot;B&quot;"/>
      <sheetName val="DimensionamentoCD&quot;B&quot;"/>
      <sheetName val="Dati (CD&quot;A&quot;)"/>
      <sheetName val="Analisi dei Carichi F.O."/>
      <sheetName val="Forze Orizzontali CD&quot;A&quot;"/>
      <sheetName val="Dimensionamento CD&quot;A&quot;"/>
      <sheetName val="Rigidezza Globale"/>
      <sheetName val="Rigidezza PIL direz y"/>
      <sheetName val="Rigidezza PIL direz x"/>
      <sheetName val="Approccio 2 per tipologia PIL x"/>
      <sheetName val="Approccio 2 per tipologia PIL y"/>
      <sheetName val="Approccio3 dettagliato sing PIL"/>
      <sheetName val="Disposizione pianta carpenteria"/>
      <sheetName val="coord centro di rigidezze"/>
      <sheetName val="Campate  del 1° 2° 3° impalcato"/>
      <sheetName val="Campate del 4° 5° impalcato"/>
      <sheetName val="Campate  del 6° impalcato"/>
      <sheetName val=" PIL del 1° 2° 3° impalcato"/>
      <sheetName val=" PIL del 4° 5° impalcato"/>
      <sheetName val=" PIL del 6° impalcato "/>
      <sheetName val="Dati ascensore "/>
    </sheetNames>
    <sheetDataSet>
      <sheetData sheetId="0"/>
      <sheetData sheetId="1">
        <row r="9">
          <cell r="J9">
            <v>3.09795</v>
          </cell>
        </row>
        <row r="12">
          <cell r="E12">
            <v>3.8279500000000004</v>
          </cell>
        </row>
        <row r="20">
          <cell r="E20">
            <v>8.6467122681440394</v>
          </cell>
        </row>
        <row r="28">
          <cell r="E28">
            <v>3.5079500000000001</v>
          </cell>
        </row>
      </sheetData>
      <sheetData sheetId="2"/>
      <sheetData sheetId="3"/>
      <sheetData sheetId="4">
        <row r="4">
          <cell r="X4">
            <v>0.3</v>
          </cell>
        </row>
        <row r="6">
          <cell r="X6">
            <v>0.6</v>
          </cell>
        </row>
        <row r="13">
          <cell r="Q13">
            <v>1.3</v>
          </cell>
        </row>
        <row r="14">
          <cell r="Q14">
            <v>1.5</v>
          </cell>
        </row>
      </sheetData>
      <sheetData sheetId="5">
        <row r="10">
          <cell r="F10">
            <v>0.22</v>
          </cell>
          <cell r="G10">
            <v>2.54</v>
          </cell>
          <cell r="H10">
            <v>0.32300000000000001</v>
          </cell>
        </row>
      </sheetData>
      <sheetData sheetId="6"/>
      <sheetData sheetId="7">
        <row r="5">
          <cell r="U5">
            <v>389.81112450667104</v>
          </cell>
        </row>
        <row r="6">
          <cell r="U6">
            <v>357.11072975834719</v>
          </cell>
        </row>
        <row r="7">
          <cell r="U7">
            <v>287.85289125975868</v>
          </cell>
        </row>
        <row r="8">
          <cell r="U8">
            <v>224.24767294265254</v>
          </cell>
        </row>
        <row r="9">
          <cell r="U9">
            <v>153.19890527765372</v>
          </cell>
        </row>
        <row r="10">
          <cell r="U10">
            <v>82.150137612654888</v>
          </cell>
        </row>
      </sheetData>
      <sheetData sheetId="8"/>
      <sheetData sheetId="9"/>
      <sheetData sheetId="10"/>
      <sheetData sheetId="11"/>
      <sheetData sheetId="12"/>
      <sheetData sheetId="13"/>
      <sheetData sheetId="14"/>
      <sheetData sheetId="15"/>
      <sheetData sheetId="16"/>
      <sheetData sheetId="17"/>
      <sheetData sheetId="18"/>
      <sheetData sheetId="19"/>
      <sheetData sheetId="20">
        <row r="7">
          <cell r="AC7">
            <v>3.8279500000000004</v>
          </cell>
          <cell r="AI7">
            <v>10.056335000000001</v>
          </cell>
        </row>
        <row r="8">
          <cell r="AI8">
            <v>4.7773349999999999</v>
          </cell>
        </row>
        <row r="9">
          <cell r="AC9">
            <v>3.5079500000000001</v>
          </cell>
        </row>
        <row r="10">
          <cell r="AC10">
            <v>8.6467122681440394</v>
          </cell>
        </row>
        <row r="11">
          <cell r="AC11">
            <v>6</v>
          </cell>
          <cell r="AI11">
            <v>7.8000000000000007</v>
          </cell>
        </row>
        <row r="12">
          <cell r="AC12">
            <v>4.41</v>
          </cell>
          <cell r="AI12">
            <v>5.7330000000000005</v>
          </cell>
        </row>
        <row r="13">
          <cell r="AC13">
            <v>0.81000000000000016</v>
          </cell>
          <cell r="AI13">
            <v>1.2150000000000003</v>
          </cell>
        </row>
        <row r="14">
          <cell r="AC14">
            <v>13.807499999999997</v>
          </cell>
          <cell r="AI14">
            <v>17.949749999999998</v>
          </cell>
        </row>
      </sheetData>
      <sheetData sheetId="21">
        <row r="7">
          <cell r="AI7">
            <v>10.056335000000001</v>
          </cell>
        </row>
        <row r="9">
          <cell r="AI9">
            <v>10.560335</v>
          </cell>
        </row>
        <row r="10">
          <cell r="AI10">
            <v>17.240725948587251</v>
          </cell>
        </row>
        <row r="11">
          <cell r="AC11">
            <v>6</v>
          </cell>
          <cell r="AI11">
            <v>7.8000000000000007</v>
          </cell>
        </row>
        <row r="12">
          <cell r="AC12">
            <v>3.66</v>
          </cell>
          <cell r="AI12">
            <v>4.758</v>
          </cell>
        </row>
        <row r="13">
          <cell r="AC13">
            <v>0.81000000000000016</v>
          </cell>
          <cell r="AI13">
            <v>1.2150000000000003</v>
          </cell>
        </row>
        <row r="14">
          <cell r="AC14">
            <v>14.069999999999999</v>
          </cell>
          <cell r="AF14">
            <v>14.069999999999999</v>
          </cell>
          <cell r="AI14">
            <v>18.291</v>
          </cell>
        </row>
        <row r="22">
          <cell r="AJ22">
            <v>1.3</v>
          </cell>
        </row>
      </sheetData>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Carichi F.O."/>
      <sheetName val="Dati"/>
      <sheetName val="Dimensionamento"/>
      <sheetName val="Rigidezza Globale"/>
      <sheetName val="Analisi Carichi F.O. I (dis)"/>
    </sheetNames>
    <sheetDataSet>
      <sheetData sheetId="0">
        <row r="7">
          <cell r="V7">
            <v>0.6</v>
          </cell>
        </row>
      </sheetData>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astri"/>
      <sheetName val="Travi"/>
      <sheetName val="Pilastri Combinazione di Carico"/>
      <sheetName val="Pilastri (Solaio di Copertura)"/>
      <sheetName val="FO (massa impalcato 10_9 kNm-2 "/>
      <sheetName val="FO (massa impalcato effettiva)"/>
      <sheetName val="Combinazione Gk+psikQk"/>
      <sheetName val="Combinazione Gd+Qd"/>
    </sheetNames>
    <sheetDataSet>
      <sheetData sheetId="0"/>
      <sheetData sheetId="1"/>
      <sheetData sheetId="2"/>
      <sheetData sheetId="3"/>
      <sheetData sheetId="4"/>
      <sheetData sheetId="5"/>
      <sheetData sheetId="6">
        <row r="5">
          <cell r="G5">
            <v>0.5</v>
          </cell>
        </row>
      </sheetData>
      <sheetData sheetId="7">
        <row r="7">
          <cell r="K7">
            <v>1.5</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Q33"/>
  <sheetViews>
    <sheetView tabSelected="1" zoomScaleNormal="100" workbookViewId="0">
      <selection activeCell="H5" sqref="H5:J8"/>
    </sheetView>
  </sheetViews>
  <sheetFormatPr defaultRowHeight="15" x14ac:dyDescent="0.25"/>
  <cols>
    <col min="2" max="2" width="32.7109375" customWidth="1"/>
    <col min="3" max="3" width="10.7109375" customWidth="1"/>
    <col min="5" max="5" width="27.42578125" customWidth="1"/>
    <col min="6" max="6" width="9.5703125" bestFit="1" customWidth="1"/>
    <col min="8" max="8" width="11" customWidth="1"/>
    <col min="9" max="9" width="11.7109375" customWidth="1"/>
    <col min="10" max="10" width="9.7109375" customWidth="1"/>
    <col min="13" max="13" width="20" customWidth="1"/>
    <col min="14" max="14" width="19.85546875" customWidth="1"/>
  </cols>
  <sheetData>
    <row r="2" spans="2:17" ht="17.25" x14ac:dyDescent="0.25">
      <c r="B2" s="2" t="s">
        <v>35</v>
      </c>
      <c r="C2" s="58">
        <v>24</v>
      </c>
    </row>
    <row r="3" spans="2:17" ht="18" customHeight="1" x14ac:dyDescent="0.25">
      <c r="B3" s="2" t="s">
        <v>0</v>
      </c>
      <c r="C3" s="58">
        <v>25</v>
      </c>
    </row>
    <row r="4" spans="2:17" ht="18.75" x14ac:dyDescent="0.25">
      <c r="B4" s="2" t="s">
        <v>114</v>
      </c>
      <c r="C4" s="58">
        <v>8</v>
      </c>
      <c r="E4" s="169" t="s">
        <v>13</v>
      </c>
      <c r="F4" s="169"/>
      <c r="H4" s="179" t="s">
        <v>247</v>
      </c>
      <c r="I4" s="180"/>
      <c r="J4" s="180"/>
      <c r="K4" s="181"/>
      <c r="M4" s="182" t="s">
        <v>40</v>
      </c>
      <c r="N4" s="182"/>
      <c r="O4" s="182"/>
      <c r="P4" s="182"/>
      <c r="Q4" s="182"/>
    </row>
    <row r="5" spans="2:17" ht="17.25" x14ac:dyDescent="0.25">
      <c r="B5" s="2" t="s">
        <v>1</v>
      </c>
      <c r="C5" s="58">
        <v>18</v>
      </c>
      <c r="E5" s="57" t="s">
        <v>42</v>
      </c>
      <c r="F5" s="5">
        <f>C11*8.65</f>
        <v>0.71795000000000009</v>
      </c>
      <c r="H5" s="172" t="s">
        <v>42</v>
      </c>
      <c r="I5" s="173"/>
      <c r="J5" s="174"/>
      <c r="K5" s="5">
        <f>C11*8.65</f>
        <v>0.71795000000000009</v>
      </c>
      <c r="M5" s="183"/>
      <c r="N5" s="183"/>
      <c r="O5" s="61" t="s">
        <v>14</v>
      </c>
      <c r="P5" s="61" t="s">
        <v>16</v>
      </c>
      <c r="Q5" s="61" t="s">
        <v>15</v>
      </c>
    </row>
    <row r="6" spans="2:17" ht="17.25" x14ac:dyDescent="0.25">
      <c r="B6" s="2" t="s">
        <v>38</v>
      </c>
      <c r="C6" s="58">
        <v>22</v>
      </c>
      <c r="E6" s="57" t="s">
        <v>43</v>
      </c>
      <c r="F6" s="58">
        <f>3*0.08*C12*1*C3</f>
        <v>1.0799999999999998</v>
      </c>
      <c r="H6" s="172" t="s">
        <v>43</v>
      </c>
      <c r="I6" s="173"/>
      <c r="J6" s="174"/>
      <c r="K6" s="58">
        <f>3*0.08*C12*1*C3</f>
        <v>1.0799999999999998</v>
      </c>
      <c r="M6" s="175" t="s">
        <v>18</v>
      </c>
      <c r="N6" s="175"/>
      <c r="O6" s="4">
        <v>0.7</v>
      </c>
      <c r="P6" s="4">
        <v>0.5</v>
      </c>
      <c r="Q6" s="4">
        <v>0.3</v>
      </c>
    </row>
    <row r="7" spans="2:17" ht="17.25" x14ac:dyDescent="0.25">
      <c r="B7" s="2" t="s">
        <v>2</v>
      </c>
      <c r="C7" s="58">
        <v>21</v>
      </c>
      <c r="E7" s="57" t="s">
        <v>44</v>
      </c>
      <c r="F7" s="5">
        <f>1*1*C13*C3</f>
        <v>1</v>
      </c>
      <c r="G7" s="25"/>
      <c r="H7" s="172" t="s">
        <v>44</v>
      </c>
      <c r="I7" s="173"/>
      <c r="J7" s="174"/>
      <c r="K7" s="5">
        <f>1*1*C13*C3</f>
        <v>1</v>
      </c>
      <c r="M7" s="175" t="s">
        <v>17</v>
      </c>
      <c r="N7" s="175"/>
      <c r="O7" s="4">
        <v>0.7</v>
      </c>
      <c r="P7" s="4">
        <v>0.5</v>
      </c>
      <c r="Q7" s="4">
        <v>0.3</v>
      </c>
    </row>
    <row r="8" spans="2:17" ht="17.25" x14ac:dyDescent="0.25">
      <c r="B8" s="2" t="s">
        <v>3</v>
      </c>
      <c r="C8" s="58">
        <v>27</v>
      </c>
      <c r="E8" s="57" t="s">
        <v>45</v>
      </c>
      <c r="F8" s="58">
        <f>1*1*C14*C4</f>
        <v>0.64</v>
      </c>
      <c r="G8" s="25"/>
      <c r="H8" s="172" t="s">
        <v>248</v>
      </c>
      <c r="I8" s="173"/>
      <c r="J8" s="174"/>
      <c r="K8" s="58">
        <v>0.3</v>
      </c>
      <c r="M8" s="175" t="s">
        <v>19</v>
      </c>
      <c r="N8" s="175"/>
      <c r="O8" s="4">
        <v>0.7</v>
      </c>
      <c r="P8" s="4">
        <v>0.7</v>
      </c>
      <c r="Q8" s="4">
        <v>0.6</v>
      </c>
    </row>
    <row r="9" spans="2:17" ht="17.25" x14ac:dyDescent="0.25">
      <c r="B9" s="2" t="s">
        <v>4</v>
      </c>
      <c r="C9" s="58">
        <v>18</v>
      </c>
      <c r="E9" s="57" t="s">
        <v>46</v>
      </c>
      <c r="F9" s="58">
        <f>1*1*C16*C7</f>
        <v>0.21</v>
      </c>
      <c r="H9" s="176" t="s">
        <v>249</v>
      </c>
      <c r="I9" s="177"/>
      <c r="J9" s="178"/>
      <c r="K9" s="62">
        <f>SUM(K5:K8)</f>
        <v>3.09795</v>
      </c>
      <c r="M9" s="175" t="s">
        <v>20</v>
      </c>
      <c r="N9" s="175"/>
      <c r="O9" s="4">
        <v>0.7</v>
      </c>
      <c r="P9" s="4">
        <v>0.7</v>
      </c>
      <c r="Q9" s="4">
        <v>0.6</v>
      </c>
    </row>
    <row r="10" spans="2:17" ht="17.25" x14ac:dyDescent="0.25">
      <c r="B10" s="2" t="s">
        <v>5</v>
      </c>
      <c r="C10" s="58">
        <v>6</v>
      </c>
      <c r="E10" s="57" t="s">
        <v>47</v>
      </c>
      <c r="F10" s="58">
        <f>1*1*C17*C5</f>
        <v>0.18</v>
      </c>
      <c r="M10" s="175" t="s">
        <v>21</v>
      </c>
      <c r="N10" s="175"/>
      <c r="O10" s="4">
        <v>1</v>
      </c>
      <c r="P10" s="4">
        <v>0.9</v>
      </c>
      <c r="Q10" s="4">
        <v>0.8</v>
      </c>
    </row>
    <row r="11" spans="2:17" ht="17.25" x14ac:dyDescent="0.25">
      <c r="B11" s="2" t="s">
        <v>6</v>
      </c>
      <c r="C11" s="58">
        <v>8.3000000000000004E-2</v>
      </c>
      <c r="E11" s="63" t="s">
        <v>48</v>
      </c>
      <c r="F11" s="62">
        <f>SUM(F5:F10)</f>
        <v>3.8279500000000004</v>
      </c>
      <c r="H11" s="179" t="s">
        <v>37</v>
      </c>
      <c r="I11" s="180"/>
      <c r="J11" s="180"/>
      <c r="K11" s="181"/>
      <c r="M11" s="175" t="s">
        <v>250</v>
      </c>
      <c r="N11" s="175"/>
      <c r="O11" s="61">
        <v>0.7</v>
      </c>
      <c r="P11" s="61">
        <v>0.7</v>
      </c>
      <c r="Q11" s="61">
        <v>0.6</v>
      </c>
    </row>
    <row r="12" spans="2:17" x14ac:dyDescent="0.25">
      <c r="B12" s="2" t="s">
        <v>7</v>
      </c>
      <c r="C12" s="58">
        <v>0.18</v>
      </c>
      <c r="H12" s="172" t="str">
        <f>E5</f>
        <v>pignatta  [kN/m2]</v>
      </c>
      <c r="I12" s="173"/>
      <c r="J12" s="174"/>
      <c r="K12" s="5">
        <f>F5</f>
        <v>0.71795000000000009</v>
      </c>
      <c r="M12" s="175" t="s">
        <v>22</v>
      </c>
      <c r="N12" s="175"/>
      <c r="O12" s="61">
        <v>0.7</v>
      </c>
      <c r="P12" s="61">
        <v>0.5</v>
      </c>
      <c r="Q12" s="61">
        <v>0.3</v>
      </c>
    </row>
    <row r="13" spans="2:17" x14ac:dyDescent="0.25">
      <c r="B13" s="2" t="s">
        <v>8</v>
      </c>
      <c r="C13" s="58">
        <v>0.04</v>
      </c>
      <c r="H13" s="172" t="str">
        <f>E6</f>
        <v>travetto [kN/m2]</v>
      </c>
      <c r="I13" s="173"/>
      <c r="J13" s="174"/>
      <c r="K13" s="58">
        <f>F6</f>
        <v>1.0799999999999998</v>
      </c>
      <c r="M13" s="175" t="s">
        <v>23</v>
      </c>
      <c r="N13" s="175"/>
      <c r="O13" s="4">
        <v>0</v>
      </c>
      <c r="P13" s="4">
        <v>0</v>
      </c>
      <c r="Q13" s="4">
        <v>0</v>
      </c>
    </row>
    <row r="14" spans="2:17" x14ac:dyDescent="0.25">
      <c r="B14" s="2" t="s">
        <v>9</v>
      </c>
      <c r="C14" s="58">
        <v>0.08</v>
      </c>
      <c r="E14" s="169" t="s">
        <v>30</v>
      </c>
      <c r="F14" s="169"/>
      <c r="H14" s="172" t="str">
        <f>E7</f>
        <v>soletta [kN/m2]</v>
      </c>
      <c r="I14" s="173"/>
      <c r="J14" s="174"/>
      <c r="K14" s="5">
        <f>F7</f>
        <v>1</v>
      </c>
      <c r="M14" s="175" t="s">
        <v>24</v>
      </c>
      <c r="N14" s="175"/>
      <c r="O14" s="61">
        <v>0.6</v>
      </c>
      <c r="P14" s="61">
        <v>0.2</v>
      </c>
      <c r="Q14" s="4">
        <v>0</v>
      </c>
    </row>
    <row r="15" spans="2:17" ht="17.25" x14ac:dyDescent="0.25">
      <c r="B15" s="2" t="s">
        <v>196</v>
      </c>
      <c r="C15" s="58">
        <v>0.04</v>
      </c>
      <c r="E15" s="59" t="s">
        <v>191</v>
      </c>
      <c r="F15" s="5">
        <f>0.2*1*$C$3*C21</f>
        <v>5.6628496796757135</v>
      </c>
      <c r="H15" s="172" t="s">
        <v>45</v>
      </c>
      <c r="I15" s="173"/>
      <c r="J15" s="174"/>
      <c r="K15" s="58">
        <f>1*1*C4*C15</f>
        <v>0.32</v>
      </c>
      <c r="M15" s="175" t="s">
        <v>251</v>
      </c>
      <c r="N15" s="175"/>
      <c r="O15" s="61">
        <v>0.5</v>
      </c>
      <c r="P15" s="61">
        <v>0.2</v>
      </c>
      <c r="Q15" s="4">
        <v>0</v>
      </c>
    </row>
    <row r="16" spans="2:17" ht="17.25" x14ac:dyDescent="0.25">
      <c r="B16" s="2" t="s">
        <v>12</v>
      </c>
      <c r="C16" s="58">
        <v>0.01</v>
      </c>
      <c r="E16" s="59" t="s">
        <v>10</v>
      </c>
      <c r="F16" s="5">
        <f>C17*1*C21*C5</f>
        <v>0.2038625884683257</v>
      </c>
      <c r="H16" s="172" t="s">
        <v>46</v>
      </c>
      <c r="I16" s="173"/>
      <c r="J16" s="174"/>
      <c r="K16" s="58">
        <f>$F$9</f>
        <v>0.21</v>
      </c>
      <c r="M16" s="175" t="s">
        <v>252</v>
      </c>
      <c r="N16" s="175"/>
      <c r="O16" s="61">
        <v>0.7</v>
      </c>
      <c r="P16" s="61">
        <v>0.5</v>
      </c>
      <c r="Q16" s="4">
        <v>0</v>
      </c>
    </row>
    <row r="17" spans="2:17" x14ac:dyDescent="0.25">
      <c r="B17" s="2" t="s">
        <v>11</v>
      </c>
      <c r="C17" s="58">
        <v>0.01</v>
      </c>
      <c r="E17" s="59" t="s">
        <v>192</v>
      </c>
      <c r="F17" s="5">
        <f>0.5*C23*C22*1*24*1/0.3</f>
        <v>1.9200000000000004</v>
      </c>
      <c r="H17" s="172" t="s">
        <v>10</v>
      </c>
      <c r="I17" s="173"/>
      <c r="J17" s="174"/>
      <c r="K17" s="58">
        <f>$F$10</f>
        <v>0.18</v>
      </c>
      <c r="M17" s="175" t="s">
        <v>25</v>
      </c>
      <c r="N17" s="175"/>
      <c r="O17" s="61">
        <v>0.6</v>
      </c>
      <c r="P17" s="61">
        <v>0.5</v>
      </c>
      <c r="Q17" s="4">
        <v>0</v>
      </c>
    </row>
    <row r="18" spans="2:17" ht="17.25" x14ac:dyDescent="0.25">
      <c r="B18" s="2" t="s">
        <v>36</v>
      </c>
      <c r="C18" s="58">
        <v>0.02</v>
      </c>
      <c r="E18" s="59" t="s">
        <v>193</v>
      </c>
      <c r="F18" s="58">
        <f>1*1*C15*C4</f>
        <v>0.32</v>
      </c>
      <c r="H18" s="176" t="s">
        <v>97</v>
      </c>
      <c r="I18" s="177"/>
      <c r="J18" s="178"/>
      <c r="K18" s="62">
        <f>SUM(K12:K17)</f>
        <v>3.5079500000000001</v>
      </c>
    </row>
    <row r="19" spans="2:17" x14ac:dyDescent="0.25">
      <c r="E19" s="59" t="s">
        <v>194</v>
      </c>
      <c r="F19" s="58">
        <f>1*1*C8*C18</f>
        <v>0.54</v>
      </c>
    </row>
    <row r="20" spans="2:17" x14ac:dyDescent="0.25">
      <c r="B20" s="169" t="s">
        <v>34</v>
      </c>
      <c r="C20" s="169"/>
      <c r="E20" s="63" t="s">
        <v>195</v>
      </c>
      <c r="F20" s="62">
        <f>SUM(F15:F19)</f>
        <v>8.6467122681440394</v>
      </c>
    </row>
    <row r="21" spans="2:17" x14ac:dyDescent="0.25">
      <c r="B21" s="59" t="s">
        <v>31</v>
      </c>
      <c r="C21" s="5">
        <f>1/COS(0.488692)</f>
        <v>1.1325699359351427</v>
      </c>
    </row>
    <row r="22" spans="2:17" x14ac:dyDescent="0.25">
      <c r="B22" s="59" t="s">
        <v>32</v>
      </c>
      <c r="C22" s="5">
        <v>0.16</v>
      </c>
    </row>
    <row r="23" spans="2:17" x14ac:dyDescent="0.25">
      <c r="B23" s="59" t="s">
        <v>33</v>
      </c>
      <c r="C23" s="5">
        <v>0.3</v>
      </c>
      <c r="E23" s="170" t="s">
        <v>30</v>
      </c>
      <c r="F23" s="170"/>
    </row>
    <row r="24" spans="2:17" x14ac:dyDescent="0.25">
      <c r="E24" s="171" t="s">
        <v>41</v>
      </c>
      <c r="F24" s="171"/>
      <c r="G24" t="s">
        <v>61</v>
      </c>
      <c r="H24" s="166" t="s">
        <v>116</v>
      </c>
      <c r="I24" s="166"/>
      <c r="J24" s="55" t="s">
        <v>98</v>
      </c>
      <c r="K24" s="55" t="s">
        <v>99</v>
      </c>
      <c r="L24" s="55" t="s">
        <v>100</v>
      </c>
      <c r="M24" s="55" t="s">
        <v>101</v>
      </c>
      <c r="N24" s="55" t="s">
        <v>244</v>
      </c>
      <c r="O24" s="55" t="s">
        <v>245</v>
      </c>
      <c r="P24" s="55" t="s">
        <v>102</v>
      </c>
    </row>
    <row r="25" spans="2:17" ht="17.25" x14ac:dyDescent="0.25">
      <c r="E25" s="64" t="s">
        <v>253</v>
      </c>
      <c r="F25" s="65">
        <f>C18*1*1*C8</f>
        <v>0.54</v>
      </c>
      <c r="H25" s="167" t="s">
        <v>117</v>
      </c>
      <c r="I25" s="168"/>
      <c r="J25" s="5">
        <f>F11</f>
        <v>3.8279500000000004</v>
      </c>
      <c r="K25" s="5">
        <v>1.6</v>
      </c>
      <c r="L25" s="5">
        <v>2</v>
      </c>
      <c r="M25" s="5">
        <f>J25+K25+L25*Q6</f>
        <v>6.0279500000000006</v>
      </c>
      <c r="N25" s="5">
        <f>(J25+K25)*C27</f>
        <v>7.0563350000000016</v>
      </c>
      <c r="O25" s="5">
        <f>L25*C28</f>
        <v>3</v>
      </c>
      <c r="P25" s="5">
        <f>N25+O25</f>
        <v>10.056335000000001</v>
      </c>
    </row>
    <row r="26" spans="2:17" ht="17.25" x14ac:dyDescent="0.25">
      <c r="B26" s="169" t="s">
        <v>26</v>
      </c>
      <c r="C26" s="169"/>
      <c r="E26" s="66" t="s">
        <v>254</v>
      </c>
      <c r="F26" s="67">
        <v>2</v>
      </c>
      <c r="H26" s="167" t="s">
        <v>106</v>
      </c>
      <c r="I26" s="168"/>
      <c r="J26" s="5">
        <f>K9</f>
        <v>3.09795</v>
      </c>
      <c r="K26" s="68"/>
      <c r="L26" s="5">
        <v>0.5</v>
      </c>
      <c r="M26" s="5">
        <f>J26+Q13*L26</f>
        <v>3.09795</v>
      </c>
      <c r="N26" s="5">
        <f>J26*C27</f>
        <v>4.0273349999999999</v>
      </c>
      <c r="O26" s="5">
        <f>L26*C28</f>
        <v>0.75</v>
      </c>
      <c r="P26" s="5">
        <f>N26+O26</f>
        <v>4.7773349999999999</v>
      </c>
    </row>
    <row r="27" spans="2:17" x14ac:dyDescent="0.25">
      <c r="B27" s="1" t="s">
        <v>27</v>
      </c>
      <c r="C27" s="58">
        <v>1.3</v>
      </c>
      <c r="H27" s="166" t="s">
        <v>118</v>
      </c>
      <c r="I27" s="166"/>
      <c r="J27" s="5">
        <f>K18</f>
        <v>3.5079500000000001</v>
      </c>
      <c r="K27" s="5"/>
      <c r="L27" s="5">
        <v>4</v>
      </c>
      <c r="M27" s="5">
        <f>J27+Q8*L27</f>
        <v>5.9079499999999996</v>
      </c>
      <c r="N27" s="5">
        <f>J27*C27</f>
        <v>4.5603350000000002</v>
      </c>
      <c r="O27" s="5">
        <f>L27*C28</f>
        <v>6</v>
      </c>
      <c r="P27" s="5">
        <f>N27+O27</f>
        <v>10.560335</v>
      </c>
    </row>
    <row r="28" spans="2:17" x14ac:dyDescent="0.25">
      <c r="B28" s="58" t="s">
        <v>28</v>
      </c>
      <c r="C28" s="58">
        <v>1.5</v>
      </c>
      <c r="H28" s="166" t="s">
        <v>103</v>
      </c>
      <c r="I28" s="166"/>
      <c r="J28" s="5">
        <f>F20</f>
        <v>8.6467122681440394</v>
      </c>
      <c r="K28" s="5"/>
      <c r="L28" s="5">
        <v>4</v>
      </c>
      <c r="M28" s="5">
        <f>J28+Q8*L28</f>
        <v>11.04671226814404</v>
      </c>
      <c r="N28" s="5">
        <f>J28*C27</f>
        <v>11.240725948587251</v>
      </c>
      <c r="O28" s="5">
        <f>L28*C28</f>
        <v>6</v>
      </c>
      <c r="P28" s="5">
        <f>N28+O28</f>
        <v>17.240725948587251</v>
      </c>
    </row>
    <row r="29" spans="2:17" x14ac:dyDescent="0.25">
      <c r="B29" s="58" t="s">
        <v>29</v>
      </c>
      <c r="C29" s="58">
        <v>1</v>
      </c>
      <c r="H29" s="166" t="s">
        <v>104</v>
      </c>
      <c r="I29" s="166"/>
      <c r="J29" s="5">
        <v>6</v>
      </c>
      <c r="K29" s="5"/>
      <c r="L29" s="5"/>
      <c r="M29" s="5">
        <f>J29</f>
        <v>6</v>
      </c>
      <c r="N29" s="5">
        <f>J29*C$27</f>
        <v>7.8000000000000007</v>
      </c>
      <c r="O29" s="5"/>
      <c r="P29" s="5">
        <f>N29</f>
        <v>7.8000000000000007</v>
      </c>
    </row>
    <row r="30" spans="2:17" x14ac:dyDescent="0.25">
      <c r="H30" s="166" t="s">
        <v>255</v>
      </c>
      <c r="I30" s="166"/>
      <c r="J30" s="5">
        <f>(0.3*0.6*1*25)-0.3*2.8</f>
        <v>3.66</v>
      </c>
      <c r="K30" s="5"/>
      <c r="L30" s="5"/>
      <c r="M30" s="5">
        <f>J30</f>
        <v>3.66</v>
      </c>
      <c r="N30" s="5">
        <f>J30*C$27</f>
        <v>4.758</v>
      </c>
      <c r="O30" s="5"/>
      <c r="P30" s="5">
        <f>N30</f>
        <v>4.758</v>
      </c>
    </row>
    <row r="31" spans="2:17" x14ac:dyDescent="0.25">
      <c r="G31" s="25"/>
      <c r="H31" s="166" t="s">
        <v>256</v>
      </c>
      <c r="I31" s="166"/>
      <c r="J31" s="5">
        <f>(0.3*0.22*1*25)-0.3*2.8</f>
        <v>0.81000000000000016</v>
      </c>
      <c r="K31" s="5"/>
      <c r="L31" s="5"/>
      <c r="M31" s="5">
        <f>J31</f>
        <v>0.81000000000000016</v>
      </c>
      <c r="N31" s="5">
        <f>J31*C$27</f>
        <v>1.0530000000000002</v>
      </c>
      <c r="O31" s="5"/>
      <c r="P31" s="5">
        <f>N31</f>
        <v>1.0530000000000002</v>
      </c>
    </row>
    <row r="32" spans="2:17" x14ac:dyDescent="0.25">
      <c r="H32" s="166" t="s">
        <v>257</v>
      </c>
      <c r="I32" s="166"/>
      <c r="J32" s="5">
        <f>0.3*0.7*2.68*25</f>
        <v>14.069999999999999</v>
      </c>
      <c r="K32" s="5"/>
      <c r="L32" s="5"/>
      <c r="M32" s="5">
        <f>J32</f>
        <v>14.069999999999999</v>
      </c>
      <c r="N32" s="5">
        <f>J32*C27</f>
        <v>18.291</v>
      </c>
      <c r="O32" s="5"/>
      <c r="P32" s="5">
        <f>N32</f>
        <v>18.291</v>
      </c>
    </row>
    <row r="33" spans="8:16" x14ac:dyDescent="0.25">
      <c r="H33" s="166" t="s">
        <v>119</v>
      </c>
      <c r="I33" s="166"/>
      <c r="J33" s="5">
        <f>J30</f>
        <v>3.66</v>
      </c>
      <c r="K33" s="5"/>
      <c r="L33" s="5"/>
      <c r="M33" s="5">
        <f>M30</f>
        <v>3.66</v>
      </c>
      <c r="N33" s="5"/>
      <c r="O33" s="5"/>
      <c r="P33" s="5">
        <f>P30</f>
        <v>4.758</v>
      </c>
    </row>
  </sheetData>
  <mergeCells count="44">
    <mergeCell ref="H6:J6"/>
    <mergeCell ref="M6:N6"/>
    <mergeCell ref="E4:F4"/>
    <mergeCell ref="H4:K4"/>
    <mergeCell ref="M4:Q4"/>
    <mergeCell ref="H5:J5"/>
    <mergeCell ref="M5:N5"/>
    <mergeCell ref="H13:J13"/>
    <mergeCell ref="M13:N13"/>
    <mergeCell ref="H7:J7"/>
    <mergeCell ref="M7:N7"/>
    <mergeCell ref="H8:J8"/>
    <mergeCell ref="M8:N8"/>
    <mergeCell ref="H9:J9"/>
    <mergeCell ref="M9:N9"/>
    <mergeCell ref="M10:N10"/>
    <mergeCell ref="H11:K11"/>
    <mergeCell ref="M11:N11"/>
    <mergeCell ref="H12:J12"/>
    <mergeCell ref="M12:N12"/>
    <mergeCell ref="H16:J16"/>
    <mergeCell ref="M16:N16"/>
    <mergeCell ref="H17:J17"/>
    <mergeCell ref="M17:N17"/>
    <mergeCell ref="H18:J18"/>
    <mergeCell ref="E14:F14"/>
    <mergeCell ref="H14:J14"/>
    <mergeCell ref="M14:N14"/>
    <mergeCell ref="H15:J15"/>
    <mergeCell ref="M15:N15"/>
    <mergeCell ref="B20:C20"/>
    <mergeCell ref="E23:F23"/>
    <mergeCell ref="B26:C26"/>
    <mergeCell ref="H26:I26"/>
    <mergeCell ref="H27:I27"/>
    <mergeCell ref="E24:F24"/>
    <mergeCell ref="H24:I24"/>
    <mergeCell ref="H33:I33"/>
    <mergeCell ref="H25:I25"/>
    <mergeCell ref="H28:I28"/>
    <mergeCell ref="H29:I29"/>
    <mergeCell ref="H30:I30"/>
    <mergeCell ref="H31:I31"/>
    <mergeCell ref="H32:I32"/>
  </mergeCells>
  <pageMargins left="0.7" right="0.7" top="0.75" bottom="0.75" header="0.3" footer="0.3"/>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Q52"/>
  <sheetViews>
    <sheetView zoomScaleNormal="100" workbookViewId="0">
      <selection activeCell="H2" sqref="H2"/>
    </sheetView>
  </sheetViews>
  <sheetFormatPr defaultRowHeight="15" x14ac:dyDescent="0.25"/>
  <cols>
    <col min="1" max="1" width="9.140625" style="115"/>
    <col min="2" max="2" width="14.28515625" style="115" customWidth="1"/>
    <col min="3" max="6" width="9.140625" style="115"/>
    <col min="7" max="7" width="12.7109375" style="115" customWidth="1"/>
    <col min="8" max="11" width="9.140625" style="115"/>
    <col min="12" max="12" width="12.5703125" style="115" customWidth="1"/>
    <col min="13" max="16" width="9.140625" style="115"/>
    <col min="17" max="17" width="12.42578125" style="115" customWidth="1"/>
    <col min="18" max="21" width="9.140625" style="115"/>
    <col min="22" max="22" width="12.42578125" style="115" customWidth="1"/>
    <col min="23" max="27" width="9.140625" style="115"/>
    <col min="28" max="28" width="8.5703125" style="115" customWidth="1"/>
    <col min="29" max="36" width="9.140625" style="115"/>
    <col min="37" max="37" width="10.85546875" style="115" customWidth="1"/>
    <col min="38" max="38" width="10.42578125" style="115" customWidth="1"/>
    <col min="39" max="39" width="11.42578125" style="115" customWidth="1"/>
    <col min="40" max="40" width="9.85546875" style="115" customWidth="1"/>
    <col min="41" max="16384" width="9.140625" style="115"/>
  </cols>
  <sheetData>
    <row r="2" spans="2:43" x14ac:dyDescent="0.25">
      <c r="B2" s="352" t="s">
        <v>361</v>
      </c>
      <c r="C2" s="352"/>
    </row>
    <row r="3" spans="2:43" x14ac:dyDescent="0.25">
      <c r="B3" s="353" t="s">
        <v>362</v>
      </c>
      <c r="C3" s="151">
        <f>3.2-0.22-0.3</f>
        <v>2.68</v>
      </c>
    </row>
    <row r="6" spans="2:43" ht="17.25" customHeight="1" x14ac:dyDescent="0.35">
      <c r="B6" s="354" t="s">
        <v>135</v>
      </c>
      <c r="C6" s="355"/>
      <c r="D6" s="355"/>
      <c r="E6" s="356"/>
      <c r="G6" s="354" t="s">
        <v>136</v>
      </c>
      <c r="H6" s="355"/>
      <c r="I6" s="355"/>
      <c r="J6" s="356"/>
      <c r="L6" s="354" t="s">
        <v>137</v>
      </c>
      <c r="M6" s="355"/>
      <c r="N6" s="355"/>
      <c r="O6" s="356"/>
      <c r="Q6" s="354" t="s">
        <v>138</v>
      </c>
      <c r="R6" s="355"/>
      <c r="S6" s="355"/>
      <c r="T6" s="356"/>
      <c r="V6" s="354" t="s">
        <v>139</v>
      </c>
      <c r="W6" s="355"/>
      <c r="X6" s="355"/>
      <c r="Y6" s="356"/>
      <c r="AA6" s="372" t="s">
        <v>116</v>
      </c>
      <c r="AB6" s="372"/>
      <c r="AC6" s="357" t="s">
        <v>98</v>
      </c>
      <c r="AD6" s="357" t="s">
        <v>99</v>
      </c>
      <c r="AE6" s="357" t="s">
        <v>100</v>
      </c>
      <c r="AF6" s="357" t="s">
        <v>101</v>
      </c>
      <c r="AG6" s="357" t="s">
        <v>244</v>
      </c>
      <c r="AH6" s="357" t="s">
        <v>245</v>
      </c>
      <c r="AI6" s="357" t="s">
        <v>102</v>
      </c>
      <c r="AK6" s="358" t="s">
        <v>40</v>
      </c>
      <c r="AL6" s="358"/>
      <c r="AM6" s="358"/>
      <c r="AN6" s="358"/>
      <c r="AO6" s="358"/>
      <c r="AP6" s="358"/>
      <c r="AQ6" s="358"/>
    </row>
    <row r="7" spans="2:43" x14ac:dyDescent="0.25">
      <c r="B7" s="357"/>
      <c r="C7" s="357" t="s">
        <v>140</v>
      </c>
      <c r="D7" s="357" t="s">
        <v>102</v>
      </c>
      <c r="E7" s="357" t="s">
        <v>160</v>
      </c>
      <c r="G7" s="357"/>
      <c r="H7" s="357" t="s">
        <v>140</v>
      </c>
      <c r="I7" s="357" t="s">
        <v>102</v>
      </c>
      <c r="J7" s="357" t="s">
        <v>160</v>
      </c>
      <c r="L7" s="357"/>
      <c r="M7" s="357" t="s">
        <v>140</v>
      </c>
      <c r="N7" s="357" t="s">
        <v>102</v>
      </c>
      <c r="O7" s="357" t="s">
        <v>160</v>
      </c>
      <c r="Q7" s="357"/>
      <c r="R7" s="357" t="s">
        <v>140</v>
      </c>
      <c r="S7" s="357" t="s">
        <v>102</v>
      </c>
      <c r="T7" s="357" t="s">
        <v>160</v>
      </c>
      <c r="V7" s="357"/>
      <c r="W7" s="357" t="s">
        <v>140</v>
      </c>
      <c r="X7" s="357" t="s">
        <v>102</v>
      </c>
      <c r="Y7" s="357" t="s">
        <v>160</v>
      </c>
      <c r="AA7" s="372" t="s">
        <v>117</v>
      </c>
      <c r="AB7" s="372"/>
      <c r="AC7" s="350">
        <f>'Carichi unitari'!J25</f>
        <v>3.8279500000000004</v>
      </c>
      <c r="AD7" s="350">
        <v>1.6</v>
      </c>
      <c r="AE7" s="350">
        <v>2</v>
      </c>
      <c r="AF7" s="350">
        <f>AC7+AD7+AE7*AQ8</f>
        <v>6.0279500000000006</v>
      </c>
      <c r="AG7" s="350">
        <f>(AC7+AD7)*AD18</f>
        <v>7.0563350000000016</v>
      </c>
      <c r="AH7" s="350">
        <f>AE7*AD19</f>
        <v>3</v>
      </c>
      <c r="AI7" s="350">
        <f>$AG$7+$AH$7</f>
        <v>10.056335000000001</v>
      </c>
      <c r="AK7" s="359"/>
      <c r="AL7" s="359"/>
      <c r="AM7" s="359"/>
      <c r="AN7" s="359"/>
      <c r="AO7" s="134" t="s">
        <v>14</v>
      </c>
      <c r="AP7" s="134" t="s">
        <v>16</v>
      </c>
      <c r="AQ7" s="134" t="s">
        <v>15</v>
      </c>
    </row>
    <row r="8" spans="2:43" x14ac:dyDescent="0.25">
      <c r="B8" s="357" t="s">
        <v>142</v>
      </c>
      <c r="C8" s="350">
        <f>(5/2)*(5.3/2)</f>
        <v>6.625</v>
      </c>
      <c r="D8" s="350">
        <f>$AI$7</f>
        <v>10.056335000000001</v>
      </c>
      <c r="E8" s="350">
        <f>$AF$7</f>
        <v>6.0279500000000006</v>
      </c>
      <c r="G8" s="357" t="s">
        <v>142</v>
      </c>
      <c r="H8" s="350">
        <f>1.2*(5/2)*(5.3/2)+(3.9/2)*(4.9/2)</f>
        <v>12.727499999999999</v>
      </c>
      <c r="I8" s="350">
        <f>$AI$7</f>
        <v>10.056335000000001</v>
      </c>
      <c r="J8" s="350">
        <f>$AF$7</f>
        <v>6.0279500000000006</v>
      </c>
      <c r="L8" s="357" t="s">
        <v>142</v>
      </c>
      <c r="M8" s="350">
        <f>(3.9/2)*(4.9/2)+(4.4/2)*(4.9/2)</f>
        <v>10.1675</v>
      </c>
      <c r="N8" s="350">
        <f>$AI$7</f>
        <v>10.056335000000001</v>
      </c>
      <c r="O8" s="350">
        <f>$AF$7</f>
        <v>6.0279500000000006</v>
      </c>
      <c r="Q8" s="357" t="s">
        <v>142</v>
      </c>
      <c r="R8" s="350">
        <f>(4.4/2)*(4.8/2)+(4.8/2)*(4.8/2)</f>
        <v>11.04</v>
      </c>
      <c r="S8" s="350">
        <f>$AI$7</f>
        <v>10.056335000000001</v>
      </c>
      <c r="T8" s="350">
        <f>$AF$7</f>
        <v>6.0279500000000006</v>
      </c>
      <c r="V8" s="357" t="s">
        <v>142</v>
      </c>
      <c r="W8" s="350">
        <f>(4.8/2)*(4.8/2)+1.2*(4.5/2)*(4.8/2)</f>
        <v>12.239999999999998</v>
      </c>
      <c r="X8" s="350">
        <f>$AI$7</f>
        <v>10.056335000000001</v>
      </c>
      <c r="Y8" s="350">
        <f>$AF$7</f>
        <v>6.0279500000000006</v>
      </c>
      <c r="AA8" s="373" t="s">
        <v>106</v>
      </c>
      <c r="AB8" s="373"/>
      <c r="AC8" s="360">
        <f>'Carichi unitari'!J26</f>
        <v>3.09795</v>
      </c>
      <c r="AD8" s="360"/>
      <c r="AE8" s="360">
        <v>0.5</v>
      </c>
      <c r="AF8" s="360">
        <f>AC8+AQ15*AE8</f>
        <v>3.09795</v>
      </c>
      <c r="AG8" s="360">
        <f>AC8*AD18</f>
        <v>4.0273349999999999</v>
      </c>
      <c r="AH8" s="360">
        <f>'[4]Combinazione Gd+Qd'!$K$7*'[4]Combinazione Gk+psikQk'!$G$5</f>
        <v>0.75</v>
      </c>
      <c r="AI8" s="360">
        <f>$AG$8+$AH$8</f>
        <v>4.7773349999999999</v>
      </c>
      <c r="AK8" s="359" t="s">
        <v>18</v>
      </c>
      <c r="AL8" s="359"/>
      <c r="AM8" s="359"/>
      <c r="AN8" s="359"/>
      <c r="AO8" s="361">
        <v>0.7</v>
      </c>
      <c r="AP8" s="361">
        <v>0.5</v>
      </c>
      <c r="AQ8" s="361">
        <v>0.3</v>
      </c>
    </row>
    <row r="9" spans="2:43" x14ac:dyDescent="0.25">
      <c r="B9" s="357" t="s">
        <v>143</v>
      </c>
      <c r="C9" s="350">
        <v>0</v>
      </c>
      <c r="D9" s="350">
        <f>$AI$9</f>
        <v>10.560335</v>
      </c>
      <c r="E9" s="350">
        <f>$AF$9</f>
        <v>5.9079499999999996</v>
      </c>
      <c r="G9" s="357" t="s">
        <v>143</v>
      </c>
      <c r="H9" s="350">
        <f>(4.4/2)*1.5</f>
        <v>3.3000000000000003</v>
      </c>
      <c r="I9" s="350">
        <f>$AI$9</f>
        <v>10.560335</v>
      </c>
      <c r="J9" s="350">
        <f>$AF$9</f>
        <v>5.9079499999999996</v>
      </c>
      <c r="L9" s="357" t="s">
        <v>143</v>
      </c>
      <c r="M9" s="350">
        <f>(4.4/2)*1.5</f>
        <v>3.3000000000000003</v>
      </c>
      <c r="N9" s="350">
        <f>$AI$9</f>
        <v>10.560335</v>
      </c>
      <c r="O9" s="350">
        <f>$AF$9</f>
        <v>5.9079499999999996</v>
      </c>
      <c r="Q9" s="357" t="s">
        <v>143</v>
      </c>
      <c r="R9" s="350">
        <f>1.5*(4/2)+1.5*(4.4/2)</f>
        <v>6.3000000000000007</v>
      </c>
      <c r="S9" s="350">
        <f>$AI$9</f>
        <v>10.560335</v>
      </c>
      <c r="T9" s="350">
        <f>$AF$9</f>
        <v>5.9079499999999996</v>
      </c>
      <c r="V9" s="357" t="s">
        <v>143</v>
      </c>
      <c r="W9" s="350">
        <f>1.5*(4.4/2)</f>
        <v>3.3000000000000003</v>
      </c>
      <c r="X9" s="350">
        <f>$AI$9</f>
        <v>10.560335</v>
      </c>
      <c r="Y9" s="350">
        <f>$AF$9</f>
        <v>5.9079499999999996</v>
      </c>
      <c r="AA9" s="372" t="s">
        <v>118</v>
      </c>
      <c r="AB9" s="372"/>
      <c r="AC9" s="350">
        <f>'Carichi unitari'!J27</f>
        <v>3.5079500000000001</v>
      </c>
      <c r="AD9" s="350"/>
      <c r="AE9" s="350">
        <v>4</v>
      </c>
      <c r="AF9" s="350">
        <f>AC9+AQ10*AE9</f>
        <v>5.9079499999999996</v>
      </c>
      <c r="AG9" s="350">
        <f>AC9*AD18</f>
        <v>4.5603350000000002</v>
      </c>
      <c r="AH9" s="350">
        <f>AE9*AD19</f>
        <v>6</v>
      </c>
      <c r="AI9" s="350">
        <f>$AG$9+$AH$9</f>
        <v>10.560335</v>
      </c>
      <c r="AK9" s="359" t="s">
        <v>17</v>
      </c>
      <c r="AL9" s="359"/>
      <c r="AM9" s="359"/>
      <c r="AN9" s="359"/>
      <c r="AO9" s="361">
        <v>0.7</v>
      </c>
      <c r="AP9" s="361">
        <v>0.5</v>
      </c>
      <c r="AQ9" s="361">
        <v>0.3</v>
      </c>
    </row>
    <row r="10" spans="2:43" x14ac:dyDescent="0.25">
      <c r="B10" s="357" t="s">
        <v>144</v>
      </c>
      <c r="C10" s="350">
        <f>5.44</f>
        <v>5.44</v>
      </c>
      <c r="D10" s="350">
        <f>$AI$15</f>
        <v>4.758</v>
      </c>
      <c r="E10" s="350">
        <f>$AF$15</f>
        <v>3.66</v>
      </c>
      <c r="G10" s="357" t="s">
        <v>144</v>
      </c>
      <c r="H10" s="350">
        <f>1.2*(5.5/2)+(4.16/2)</f>
        <v>5.38</v>
      </c>
      <c r="I10" s="350">
        <f>$AI$15</f>
        <v>4.758</v>
      </c>
      <c r="J10" s="350">
        <f>$AF$15</f>
        <v>3.66</v>
      </c>
      <c r="L10" s="357" t="s">
        <v>144</v>
      </c>
      <c r="M10" s="350">
        <f>(4.16/2)+(4.5/2)+(4.85/2)</f>
        <v>6.7549999999999999</v>
      </c>
      <c r="N10" s="350">
        <f>$AI$15</f>
        <v>4.758</v>
      </c>
      <c r="O10" s="350">
        <f>$AF$15</f>
        <v>3.66</v>
      </c>
      <c r="Q10" s="357" t="s">
        <v>144</v>
      </c>
      <c r="R10" s="350">
        <f>(4.5/2)+(4.94/2)+(4.85/2)</f>
        <v>7.1450000000000005</v>
      </c>
      <c r="S10" s="350">
        <f>$AI$15</f>
        <v>4.758</v>
      </c>
      <c r="T10" s="350">
        <f>$AF$15</f>
        <v>3.66</v>
      </c>
      <c r="V10" s="357" t="s">
        <v>144</v>
      </c>
      <c r="W10" s="350">
        <f>(4.94/2)+1.2*(4.46/2)</f>
        <v>5.1459999999999999</v>
      </c>
      <c r="X10" s="350">
        <f>$AI$15</f>
        <v>4.758</v>
      </c>
      <c r="Y10" s="350">
        <f>$AF$15</f>
        <v>3.66</v>
      </c>
      <c r="AA10" s="372" t="s">
        <v>103</v>
      </c>
      <c r="AB10" s="372"/>
      <c r="AC10" s="350">
        <f>'Carichi unitari'!J28</f>
        <v>8.6467122681440394</v>
      </c>
      <c r="AD10" s="350"/>
      <c r="AE10" s="350">
        <v>4</v>
      </c>
      <c r="AF10" s="350">
        <f>AC10+AQ10*AE10</f>
        <v>11.04671226814404</v>
      </c>
      <c r="AG10" s="350">
        <f>AC10*AD18</f>
        <v>11.240725948587251</v>
      </c>
      <c r="AH10" s="350">
        <f>AE10*AD19</f>
        <v>6</v>
      </c>
      <c r="AI10" s="350">
        <f>$AG$10+$AH$10</f>
        <v>17.240725948587251</v>
      </c>
      <c r="AK10" s="359" t="s">
        <v>19</v>
      </c>
      <c r="AL10" s="359"/>
      <c r="AM10" s="359"/>
      <c r="AN10" s="359"/>
      <c r="AO10" s="361">
        <v>0.7</v>
      </c>
      <c r="AP10" s="361">
        <v>0.7</v>
      </c>
      <c r="AQ10" s="361">
        <v>0.6</v>
      </c>
    </row>
    <row r="11" spans="2:43" x14ac:dyDescent="0.25">
      <c r="B11" s="357" t="s">
        <v>145</v>
      </c>
      <c r="C11" s="350">
        <v>0</v>
      </c>
      <c r="D11" s="350">
        <f>$AI$10</f>
        <v>17.240725948587251</v>
      </c>
      <c r="E11" s="350">
        <f>$AF$10</f>
        <v>11.04671226814404</v>
      </c>
      <c r="G11" s="357" t="s">
        <v>144</v>
      </c>
      <c r="H11" s="350">
        <f>(5.05/2)</f>
        <v>2.5249999999999999</v>
      </c>
      <c r="I11" s="350">
        <f>$AI$13</f>
        <v>1.2150000000000003</v>
      </c>
      <c r="J11" s="350">
        <f>$AF$13</f>
        <v>0.81000000000000016</v>
      </c>
      <c r="L11" s="357" t="s">
        <v>145</v>
      </c>
      <c r="M11" s="350">
        <v>0</v>
      </c>
      <c r="N11" s="350">
        <f>$AI$10</f>
        <v>17.240725948587251</v>
      </c>
      <c r="O11" s="350">
        <f>$AF$10</f>
        <v>11.04671226814404</v>
      </c>
      <c r="Q11" s="357" t="s">
        <v>145</v>
      </c>
      <c r="R11" s="350">
        <v>0</v>
      </c>
      <c r="S11" s="350">
        <f>$AI$10</f>
        <v>17.240725948587251</v>
      </c>
      <c r="T11" s="350">
        <f>$AF$10</f>
        <v>11.04671226814404</v>
      </c>
      <c r="V11" s="357" t="s">
        <v>144</v>
      </c>
      <c r="W11" s="350">
        <f>(5.05/2)</f>
        <v>2.5249999999999999</v>
      </c>
      <c r="X11" s="350">
        <f>$AI$13</f>
        <v>1.2150000000000003</v>
      </c>
      <c r="Y11" s="350">
        <f>$AF$13</f>
        <v>0.81000000000000016</v>
      </c>
      <c r="AA11" s="372" t="s">
        <v>104</v>
      </c>
      <c r="AB11" s="372"/>
      <c r="AC11" s="350">
        <f>'Carichi unitari'!J29</f>
        <v>6</v>
      </c>
      <c r="AD11" s="350"/>
      <c r="AE11" s="350"/>
      <c r="AF11" s="350">
        <f>AC11</f>
        <v>6</v>
      </c>
      <c r="AG11" s="350">
        <f>AC11*AD18</f>
        <v>7.8000000000000007</v>
      </c>
      <c r="AH11" s="350"/>
      <c r="AI11" s="350">
        <f>$AG$11</f>
        <v>7.8000000000000007</v>
      </c>
      <c r="AK11" s="359" t="s">
        <v>20</v>
      </c>
      <c r="AL11" s="359"/>
      <c r="AM11" s="359"/>
      <c r="AN11" s="359"/>
      <c r="AO11" s="361">
        <v>0.7</v>
      </c>
      <c r="AP11" s="361">
        <v>0.7</v>
      </c>
      <c r="AQ11" s="361">
        <v>0.6</v>
      </c>
    </row>
    <row r="12" spans="2:43" x14ac:dyDescent="0.25">
      <c r="B12" s="357" t="s">
        <v>146</v>
      </c>
      <c r="C12" s="350">
        <f>(4.9*C3)/2</f>
        <v>6.5660000000000007</v>
      </c>
      <c r="D12" s="350">
        <f>$AI$11</f>
        <v>7.8000000000000007</v>
      </c>
      <c r="E12" s="350">
        <f>$AF$11</f>
        <v>6</v>
      </c>
      <c r="G12" s="357" t="s">
        <v>145</v>
      </c>
      <c r="H12" s="350">
        <v>0</v>
      </c>
      <c r="I12" s="350">
        <f>$AI$10</f>
        <v>17.240725948587251</v>
      </c>
      <c r="J12" s="350">
        <f>$AF$10</f>
        <v>11.04671226814404</v>
      </c>
      <c r="L12" s="357" t="s">
        <v>146</v>
      </c>
      <c r="M12" s="350">
        <f>(3.6/2)*C3+(4.2/2)*C3+(4/2)*C3</f>
        <v>15.812000000000001</v>
      </c>
      <c r="N12" s="350">
        <f>$AI$11</f>
        <v>7.8000000000000007</v>
      </c>
      <c r="O12" s="350">
        <f>$AF$11</f>
        <v>6</v>
      </c>
      <c r="Q12" s="357" t="s">
        <v>146</v>
      </c>
      <c r="R12" s="350">
        <f>((4.2/2)+(4.4/2))*C3</f>
        <v>11.524000000000003</v>
      </c>
      <c r="S12" s="350">
        <f>$AI$11</f>
        <v>7.8000000000000007</v>
      </c>
      <c r="T12" s="350">
        <f>$AF$11</f>
        <v>6</v>
      </c>
      <c r="V12" s="357" t="s">
        <v>145</v>
      </c>
      <c r="W12" s="350">
        <v>0</v>
      </c>
      <c r="X12" s="350">
        <f>$AI$10</f>
        <v>17.240725948587251</v>
      </c>
      <c r="Y12" s="350">
        <f>$AF$10</f>
        <v>11.04671226814404</v>
      </c>
      <c r="AA12" s="372" t="s">
        <v>255</v>
      </c>
      <c r="AB12" s="372"/>
      <c r="AC12" s="350">
        <f>'Carichi unitari'!J30</f>
        <v>3.66</v>
      </c>
      <c r="AD12" s="350"/>
      <c r="AE12" s="350"/>
      <c r="AF12" s="350">
        <f>AC12</f>
        <v>3.66</v>
      </c>
      <c r="AG12" s="350">
        <f>AC12*AD18</f>
        <v>4.758</v>
      </c>
      <c r="AH12" s="350"/>
      <c r="AI12" s="350">
        <f>AG12</f>
        <v>4.758</v>
      </c>
      <c r="AK12" s="359" t="s">
        <v>21</v>
      </c>
      <c r="AL12" s="359"/>
      <c r="AM12" s="359"/>
      <c r="AN12" s="359"/>
      <c r="AO12" s="361">
        <v>1</v>
      </c>
      <c r="AP12" s="361">
        <v>0.9</v>
      </c>
      <c r="AQ12" s="361">
        <v>0.8</v>
      </c>
    </row>
    <row r="13" spans="2:43" x14ac:dyDescent="0.25">
      <c r="B13" s="362"/>
      <c r="C13" s="363"/>
      <c r="D13" s="350">
        <f>C$8*D8+C$9*D9+C$10*D10+C$11*D11+C$12*D12</f>
        <v>143.72153937500002</v>
      </c>
      <c r="E13" s="350">
        <f>C$8*E8+C$9*E9+C$10*E10+C$11*E11+C$12*E12</f>
        <v>99.241568749999999</v>
      </c>
      <c r="G13" s="357" t="s">
        <v>146</v>
      </c>
      <c r="H13" s="350">
        <f>(1.2*(4.9/2)+(3.6/2)*C3)</f>
        <v>7.7640000000000011</v>
      </c>
      <c r="I13" s="350">
        <f>$AI$11</f>
        <v>7.8000000000000007</v>
      </c>
      <c r="J13" s="350">
        <f>$AF$11</f>
        <v>6</v>
      </c>
      <c r="L13" s="362"/>
      <c r="M13" s="363"/>
      <c r="N13" s="350">
        <f>M$8*N8+M$9*N9+M$10*N10+M$11*N11+M$12*N12</f>
        <v>292.57078161250001</v>
      </c>
      <c r="O13" s="350">
        <f>M$8*O8+M$9*O9+M$10*O10+M$11*O11+M$12*O12</f>
        <v>200.38071662500002</v>
      </c>
      <c r="Q13" s="362"/>
      <c r="R13" s="363"/>
      <c r="S13" s="350">
        <f>R$8*S8+R$9*S9+R$10*S10+R$11*S11+R$12*S12</f>
        <v>301.43515890000003</v>
      </c>
      <c r="T13" s="350">
        <f>R$8*T8+R$9*T9+R$10*T10+R$11*T11+R$12*T12</f>
        <v>199.06335300000001</v>
      </c>
      <c r="V13" s="357" t="s">
        <v>146</v>
      </c>
      <c r="W13" s="350">
        <f>((4.4/2)+1.2*(3.6/2))*C3</f>
        <v>11.684800000000001</v>
      </c>
      <c r="X13" s="350">
        <f>$AI$11</f>
        <v>7.8000000000000007</v>
      </c>
      <c r="Y13" s="350">
        <f>$AF$11</f>
        <v>6</v>
      </c>
      <c r="AA13" s="372" t="s">
        <v>256</v>
      </c>
      <c r="AB13" s="372"/>
      <c r="AC13" s="350">
        <f>'Carichi unitari'!J31</f>
        <v>0.81000000000000016</v>
      </c>
      <c r="AD13" s="350"/>
      <c r="AE13" s="350"/>
      <c r="AF13" s="350">
        <f>AC13</f>
        <v>0.81000000000000016</v>
      </c>
      <c r="AG13" s="350">
        <f>AC13*AD19</f>
        <v>1.2150000000000003</v>
      </c>
      <c r="AH13" s="350"/>
      <c r="AI13" s="350">
        <f>AG13</f>
        <v>1.2150000000000003</v>
      </c>
      <c r="AK13" s="359" t="s">
        <v>250</v>
      </c>
      <c r="AL13" s="359"/>
      <c r="AM13" s="359"/>
      <c r="AN13" s="359"/>
      <c r="AO13" s="364">
        <v>0.7</v>
      </c>
      <c r="AP13" s="364">
        <v>0.7</v>
      </c>
      <c r="AQ13" s="364">
        <v>0.6</v>
      </c>
    </row>
    <row r="14" spans="2:43" x14ac:dyDescent="0.25">
      <c r="B14" s="365" t="s">
        <v>147</v>
      </c>
      <c r="C14" s="366"/>
      <c r="D14" s="350">
        <f>$AG$14</f>
        <v>18.291</v>
      </c>
      <c r="E14" s="350">
        <f>$AF$14</f>
        <v>14.069999999999999</v>
      </c>
      <c r="G14" s="367"/>
      <c r="H14" s="368"/>
      <c r="I14" s="350">
        <f>H$8*I8+H$9*I9+H$10*I10+H$12*I12+H$13*I13</f>
        <v>248.99834921249999</v>
      </c>
      <c r="J14" s="350">
        <f>H$8*J8+H$9*J9+H$10*J10+H$12*J12+H$13*J13</f>
        <v>162.49176862500002</v>
      </c>
      <c r="L14" s="365" t="s">
        <v>147</v>
      </c>
      <c r="M14" s="366"/>
      <c r="N14" s="350">
        <f>$AG$14</f>
        <v>18.291</v>
      </c>
      <c r="O14" s="350">
        <f>$AF$14</f>
        <v>14.069999999999999</v>
      </c>
      <c r="Q14" s="365" t="s">
        <v>147</v>
      </c>
      <c r="R14" s="366"/>
      <c r="S14" s="350">
        <f>$AG$14</f>
        <v>18.291</v>
      </c>
      <c r="T14" s="350">
        <f>$AF$14</f>
        <v>14.069999999999999</v>
      </c>
      <c r="V14" s="362"/>
      <c r="W14" s="363"/>
      <c r="X14" s="350">
        <f>W$8*X8+W$9*X9+W$10*X10+W$12*X12+W$13*X13</f>
        <v>273.56475390000003</v>
      </c>
      <c r="Y14" s="350">
        <f>W$8*Y8+W$9*Y9+W$10*Y10+W$12*Y12+W$13*Y13</f>
        <v>182.22150299999998</v>
      </c>
      <c r="AA14" s="372" t="s">
        <v>257</v>
      </c>
      <c r="AB14" s="372"/>
      <c r="AC14" s="350">
        <f>'Carichi unitari'!J32</f>
        <v>14.069999999999999</v>
      </c>
      <c r="AD14" s="350"/>
      <c r="AE14" s="350"/>
      <c r="AF14" s="350">
        <f>AC14</f>
        <v>14.069999999999999</v>
      </c>
      <c r="AG14" s="350">
        <f>AC14*AD18</f>
        <v>18.291</v>
      </c>
      <c r="AH14" s="350"/>
      <c r="AI14" s="350">
        <f>$AG$14</f>
        <v>18.291</v>
      </c>
      <c r="AK14" s="359" t="s">
        <v>22</v>
      </c>
      <c r="AL14" s="359"/>
      <c r="AM14" s="359"/>
      <c r="AN14" s="359"/>
      <c r="AO14" s="364">
        <v>0.7</v>
      </c>
      <c r="AP14" s="364">
        <v>0.5</v>
      </c>
      <c r="AQ14" s="364">
        <v>0.3</v>
      </c>
    </row>
    <row r="15" spans="2:43" x14ac:dyDescent="0.25">
      <c r="B15" s="365" t="s">
        <v>109</v>
      </c>
      <c r="C15" s="366"/>
      <c r="D15" s="350">
        <f>SUM(D13:D14)</f>
        <v>162.01253937500002</v>
      </c>
      <c r="E15" s="350">
        <f>SUM(E13:E14)</f>
        <v>113.31156874999999</v>
      </c>
      <c r="G15" s="365" t="s">
        <v>147</v>
      </c>
      <c r="H15" s="366"/>
      <c r="I15" s="350">
        <f>$AG$14</f>
        <v>18.291</v>
      </c>
      <c r="J15" s="350">
        <f>$AF$14</f>
        <v>14.069999999999999</v>
      </c>
      <c r="L15" s="365" t="s">
        <v>109</v>
      </c>
      <c r="M15" s="366"/>
      <c r="N15" s="350">
        <f>SUM(N13:N14)</f>
        <v>310.86178161250001</v>
      </c>
      <c r="O15" s="350">
        <f>SUM(O13:O14)</f>
        <v>214.45071662500001</v>
      </c>
      <c r="Q15" s="365" t="s">
        <v>109</v>
      </c>
      <c r="R15" s="366"/>
      <c r="S15" s="350">
        <f>SUM(S13:S14)</f>
        <v>319.72615890000003</v>
      </c>
      <c r="T15" s="350">
        <f>SUM(T13:T14)</f>
        <v>213.133353</v>
      </c>
      <c r="V15" s="365" t="s">
        <v>147</v>
      </c>
      <c r="W15" s="366"/>
      <c r="X15" s="350">
        <f>$AG$14</f>
        <v>18.291</v>
      </c>
      <c r="Y15" s="350">
        <f>$AF$14</f>
        <v>14.069999999999999</v>
      </c>
      <c r="AA15" s="372" t="s">
        <v>119</v>
      </c>
      <c r="AB15" s="372"/>
      <c r="AC15" s="350">
        <f>'Carichi unitari'!J33</f>
        <v>3.66</v>
      </c>
      <c r="AD15" s="350"/>
      <c r="AE15" s="350"/>
      <c r="AF15" s="350">
        <f>AF12</f>
        <v>3.66</v>
      </c>
      <c r="AG15" s="350"/>
      <c r="AH15" s="350"/>
      <c r="AI15" s="350">
        <f>AI12</f>
        <v>4.758</v>
      </c>
      <c r="AK15" s="359" t="s">
        <v>23</v>
      </c>
      <c r="AL15" s="359"/>
      <c r="AM15" s="359"/>
      <c r="AN15" s="359"/>
      <c r="AO15" s="361">
        <v>0</v>
      </c>
      <c r="AP15" s="361">
        <v>0</v>
      </c>
      <c r="AQ15" s="361">
        <v>0</v>
      </c>
    </row>
    <row r="16" spans="2:43" x14ac:dyDescent="0.25">
      <c r="G16" s="365" t="s">
        <v>109</v>
      </c>
      <c r="H16" s="366"/>
      <c r="I16" s="350">
        <f>SUM(I14:I15)</f>
        <v>267.28934921249999</v>
      </c>
      <c r="J16" s="350">
        <f>SUM(J14:J15)</f>
        <v>176.56176862500001</v>
      </c>
      <c r="V16" s="365" t="s">
        <v>109</v>
      </c>
      <c r="W16" s="366"/>
      <c r="X16" s="350">
        <f>SUM(X14:X15)</f>
        <v>291.85575390000002</v>
      </c>
      <c r="Y16" s="350">
        <f>SUM(Y14:Y15)</f>
        <v>196.29150299999998</v>
      </c>
      <c r="AK16" s="359" t="s">
        <v>24</v>
      </c>
      <c r="AL16" s="359"/>
      <c r="AM16" s="359"/>
      <c r="AN16" s="359"/>
      <c r="AO16" s="364">
        <v>0.6</v>
      </c>
      <c r="AP16" s="364">
        <v>0.2</v>
      </c>
      <c r="AQ16" s="361">
        <v>0</v>
      </c>
    </row>
    <row r="17" spans="2:43" x14ac:dyDescent="0.25">
      <c r="AA17" s="365" t="s">
        <v>26</v>
      </c>
      <c r="AB17" s="369"/>
      <c r="AC17" s="369"/>
      <c r="AD17" s="366"/>
      <c r="AK17" s="359" t="s">
        <v>251</v>
      </c>
      <c r="AL17" s="359"/>
      <c r="AM17" s="359"/>
      <c r="AN17" s="359"/>
      <c r="AO17" s="364">
        <v>0.5</v>
      </c>
      <c r="AP17" s="364">
        <v>0.2</v>
      </c>
      <c r="AQ17" s="361">
        <v>0</v>
      </c>
    </row>
    <row r="18" spans="2:43" ht="18.75" x14ac:dyDescent="0.3">
      <c r="B18" s="370" t="s">
        <v>148</v>
      </c>
      <c r="C18" s="370"/>
      <c r="D18" s="370"/>
      <c r="E18" s="370"/>
      <c r="G18" s="370" t="s">
        <v>115</v>
      </c>
      <c r="H18" s="370"/>
      <c r="I18" s="370"/>
      <c r="J18" s="370"/>
      <c r="L18" s="370" t="s">
        <v>149</v>
      </c>
      <c r="M18" s="370"/>
      <c r="N18" s="370"/>
      <c r="O18" s="370"/>
      <c r="Q18" s="370" t="s">
        <v>150</v>
      </c>
      <c r="R18" s="370"/>
      <c r="S18" s="370"/>
      <c r="T18" s="370"/>
      <c r="V18" s="370" t="s">
        <v>151</v>
      </c>
      <c r="W18" s="370"/>
      <c r="X18" s="370"/>
      <c r="Y18" s="370"/>
      <c r="AA18" s="372" t="s">
        <v>27</v>
      </c>
      <c r="AB18" s="372"/>
      <c r="AC18" s="372"/>
      <c r="AD18" s="151">
        <v>1.3</v>
      </c>
      <c r="AK18" s="359" t="s">
        <v>252</v>
      </c>
      <c r="AL18" s="359"/>
      <c r="AM18" s="359"/>
      <c r="AN18" s="359"/>
      <c r="AO18" s="364">
        <v>0.7</v>
      </c>
      <c r="AP18" s="364">
        <v>0.5</v>
      </c>
      <c r="AQ18" s="361">
        <v>0</v>
      </c>
    </row>
    <row r="19" spans="2:43" ht="15" customHeight="1" x14ac:dyDescent="0.25">
      <c r="B19" s="357"/>
      <c r="C19" s="357" t="s">
        <v>140</v>
      </c>
      <c r="D19" s="357" t="s">
        <v>102</v>
      </c>
      <c r="E19" s="357" t="s">
        <v>160</v>
      </c>
      <c r="G19" s="357"/>
      <c r="H19" s="357" t="s">
        <v>140</v>
      </c>
      <c r="I19" s="357" t="s">
        <v>102</v>
      </c>
      <c r="J19" s="357" t="s">
        <v>160</v>
      </c>
      <c r="L19" s="357"/>
      <c r="M19" s="357" t="s">
        <v>140</v>
      </c>
      <c r="N19" s="357" t="s">
        <v>102</v>
      </c>
      <c r="O19" s="357" t="s">
        <v>160</v>
      </c>
      <c r="Q19" s="357"/>
      <c r="R19" s="357" t="s">
        <v>140</v>
      </c>
      <c r="S19" s="357" t="s">
        <v>102</v>
      </c>
      <c r="T19" s="357" t="s">
        <v>160</v>
      </c>
      <c r="V19" s="357"/>
      <c r="W19" s="357" t="s">
        <v>140</v>
      </c>
      <c r="X19" s="357" t="s">
        <v>102</v>
      </c>
      <c r="Y19" s="357" t="s">
        <v>160</v>
      </c>
      <c r="AA19" s="372" t="s">
        <v>28</v>
      </c>
      <c r="AB19" s="372"/>
      <c r="AC19" s="372"/>
      <c r="AD19" s="151">
        <v>1.5</v>
      </c>
      <c r="AK19" s="359" t="s">
        <v>25</v>
      </c>
      <c r="AL19" s="359"/>
      <c r="AM19" s="359"/>
      <c r="AN19" s="359"/>
      <c r="AO19" s="364">
        <v>0.6</v>
      </c>
      <c r="AP19" s="364">
        <v>0.5</v>
      </c>
      <c r="AQ19" s="361">
        <v>0</v>
      </c>
    </row>
    <row r="20" spans="2:43" ht="15" customHeight="1" x14ac:dyDescent="0.25">
      <c r="B20" s="357" t="s">
        <v>142</v>
      </c>
      <c r="C20" s="350">
        <f>(4.5/2)*(4.8/2)</f>
        <v>5.3999999999999995</v>
      </c>
      <c r="D20" s="350">
        <f>$AI$7</f>
        <v>10.056335000000001</v>
      </c>
      <c r="E20" s="350">
        <f>$AF$7</f>
        <v>6.0279500000000006</v>
      </c>
      <c r="G20" s="357" t="s">
        <v>142</v>
      </c>
      <c r="H20" s="350">
        <f>(5/2)*(5.3/2)+(5/2)*(4.8/2)</f>
        <v>12.625</v>
      </c>
      <c r="I20" s="350">
        <f>$AI$7</f>
        <v>10.056335000000001</v>
      </c>
      <c r="J20" s="350">
        <f>$AF$7</f>
        <v>6.0279500000000006</v>
      </c>
      <c r="L20" s="357" t="s">
        <v>142</v>
      </c>
      <c r="M20" s="350">
        <f>1.2*(5/2)*(5.3/2)+1.2*(5/2)*(4.8/2)+1.2*(3.9/2)*(4.9/2)+1.2*(3.9/2)*(5/2)</f>
        <v>26.732999999999997</v>
      </c>
      <c r="N20" s="350">
        <f>$AI$7</f>
        <v>10.056335000000001</v>
      </c>
      <c r="O20" s="350">
        <f>$AF$7</f>
        <v>6.0279500000000006</v>
      </c>
      <c r="Q20" s="357" t="s">
        <v>142</v>
      </c>
      <c r="R20" s="350">
        <f>1.2*(3.9/2)*(4.9/2)+1.2*(4.4/2)*(4.9/2)+1.2*(3.9/2)*(5/2)</f>
        <v>18.051000000000002</v>
      </c>
      <c r="S20" s="350">
        <f>$AI$7</f>
        <v>10.056335000000001</v>
      </c>
      <c r="T20" s="350">
        <f>$AF$7</f>
        <v>6.0279500000000006</v>
      </c>
      <c r="V20" s="357" t="s">
        <v>142</v>
      </c>
      <c r="W20" s="350">
        <f>1.2*(4.4/2)*(4.9/2)+1.2*(4.8/2)*(4.8/2)+1.2*(4.8/2)*(5/2)</f>
        <v>20.58</v>
      </c>
      <c r="X20" s="350">
        <f>$AI$7</f>
        <v>10.056335000000001</v>
      </c>
      <c r="Y20" s="350">
        <f>$AF$7</f>
        <v>6.0279500000000006</v>
      </c>
      <c r="AA20" s="372" t="s">
        <v>29</v>
      </c>
      <c r="AB20" s="372"/>
      <c r="AC20" s="372"/>
      <c r="AD20" s="151">
        <v>1</v>
      </c>
      <c r="AK20" s="374"/>
      <c r="AL20" s="374"/>
      <c r="AM20" s="374"/>
      <c r="AN20" s="374"/>
    </row>
    <row r="21" spans="2:43" ht="15" customHeight="1" x14ac:dyDescent="0.25">
      <c r="B21" s="357" t="s">
        <v>143</v>
      </c>
      <c r="C21" s="350">
        <v>0</v>
      </c>
      <c r="D21" s="350">
        <f>$AI$9</f>
        <v>10.560335</v>
      </c>
      <c r="E21" s="350">
        <f>$AF$9</f>
        <v>5.9079499999999996</v>
      </c>
      <c r="G21" s="357" t="s">
        <v>143</v>
      </c>
      <c r="H21" s="350">
        <v>0</v>
      </c>
      <c r="I21" s="350">
        <f>$AI$9</f>
        <v>10.560335</v>
      </c>
      <c r="J21" s="350">
        <f>$AF$9</f>
        <v>5.9079499999999996</v>
      </c>
      <c r="L21" s="357" t="s">
        <v>143</v>
      </c>
      <c r="M21" s="350">
        <v>0</v>
      </c>
      <c r="N21" s="350">
        <f>$AI$9</f>
        <v>10.560335</v>
      </c>
      <c r="O21" s="350">
        <f>$AF$9</f>
        <v>5.9079499999999996</v>
      </c>
      <c r="Q21" s="357" t="s">
        <v>143</v>
      </c>
      <c r="R21" s="350">
        <v>0</v>
      </c>
      <c r="S21" s="350">
        <f>$AI$9</f>
        <v>10.560335</v>
      </c>
      <c r="T21" s="350">
        <f>$AF$9</f>
        <v>5.9079499999999996</v>
      </c>
      <c r="V21" s="357" t="s">
        <v>143</v>
      </c>
      <c r="W21" s="350">
        <v>0</v>
      </c>
      <c r="X21" s="350">
        <f>$AI$9</f>
        <v>10.560335</v>
      </c>
      <c r="Y21" s="350">
        <f>$AF$9</f>
        <v>5.9079499999999996</v>
      </c>
    </row>
    <row r="22" spans="2:43" ht="15" customHeight="1" x14ac:dyDescent="0.25">
      <c r="B22" s="357" t="s">
        <v>144</v>
      </c>
      <c r="C22" s="350">
        <f>(4.46/2)</f>
        <v>2.23</v>
      </c>
      <c r="D22" s="350">
        <f>$AI$15</f>
        <v>4.758</v>
      </c>
      <c r="E22" s="350">
        <f>$AF$15</f>
        <v>3.66</v>
      </c>
      <c r="G22" s="357" t="s">
        <v>144</v>
      </c>
      <c r="H22" s="350">
        <f>(4.85/2)+(5.44/2)+(5.15/2)</f>
        <v>7.72</v>
      </c>
      <c r="I22" s="350">
        <f>$AI$15</f>
        <v>4.758</v>
      </c>
      <c r="J22" s="350">
        <f>$AF$15</f>
        <v>3.66</v>
      </c>
      <c r="L22" s="357" t="s">
        <v>144</v>
      </c>
      <c r="M22" s="350">
        <f>1.2*(5.44/2)+(4.16/2)</f>
        <v>5.3440000000000003</v>
      </c>
      <c r="N22" s="350">
        <f>$AI$15</f>
        <v>4.758</v>
      </c>
      <c r="O22" s="350">
        <f>$AF$15</f>
        <v>3.66</v>
      </c>
      <c r="Q22" s="357" t="s">
        <v>144</v>
      </c>
      <c r="R22" s="350">
        <f>(4.16/2)+1.2*(4.85/2)+(4.5/2)+1.2*(5.44/2)</f>
        <v>10.504000000000001</v>
      </c>
      <c r="S22" s="350">
        <f>$AI$15</f>
        <v>4.758</v>
      </c>
      <c r="T22" s="350">
        <f>$AF$15</f>
        <v>3.66</v>
      </c>
      <c r="V22" s="357" t="s">
        <v>144</v>
      </c>
      <c r="W22" s="350">
        <f>1.2*(4.85/2)+1.2*(5.44/2)+(4.5/2)+(4.94/2)</f>
        <v>10.894</v>
      </c>
      <c r="X22" s="350">
        <f>$AI$15</f>
        <v>4.758</v>
      </c>
      <c r="Y22" s="350">
        <f>$AF$15</f>
        <v>3.66</v>
      </c>
    </row>
    <row r="23" spans="2:43" x14ac:dyDescent="0.25">
      <c r="B23" s="357" t="s">
        <v>145</v>
      </c>
      <c r="C23" s="350">
        <v>0</v>
      </c>
      <c r="D23" s="350">
        <f>$AI$10</f>
        <v>17.240725948587251</v>
      </c>
      <c r="E23" s="350">
        <f>$AF$10</f>
        <v>11.04671226814404</v>
      </c>
      <c r="G23" s="357" t="s">
        <v>145</v>
      </c>
      <c r="H23" s="350">
        <v>0</v>
      </c>
      <c r="I23" s="350">
        <f>$AI$10</f>
        <v>17.240725948587251</v>
      </c>
      <c r="J23" s="350">
        <f>$AF$10</f>
        <v>11.04671226814404</v>
      </c>
      <c r="L23" s="357" t="s">
        <v>144</v>
      </c>
      <c r="M23" s="350">
        <f>1.2*(5.05/2)+1.2*(5.15/2)</f>
        <v>6.12</v>
      </c>
      <c r="N23" s="350">
        <f>$AI$13</f>
        <v>1.2150000000000003</v>
      </c>
      <c r="O23" s="350">
        <f>$AF$13</f>
        <v>0.81000000000000016</v>
      </c>
      <c r="Q23" s="357" t="s">
        <v>145</v>
      </c>
      <c r="R23" s="350">
        <f>1.2*(4.2/2)*(5.3/2)</f>
        <v>6.6779999999999999</v>
      </c>
      <c r="S23" s="350">
        <f>$AI$10</f>
        <v>17.240725948587251</v>
      </c>
      <c r="T23" s="350">
        <f>$AF$10</f>
        <v>11.04671226814404</v>
      </c>
      <c r="V23" s="357" t="s">
        <v>145</v>
      </c>
      <c r="W23" s="350">
        <f>1.2*(4.2/2)*(5.3/2)</f>
        <v>6.6779999999999999</v>
      </c>
      <c r="X23" s="350">
        <f>$AI$10</f>
        <v>17.240725948587251</v>
      </c>
      <c r="Y23" s="350">
        <f>$AF$10</f>
        <v>11.04671226814404</v>
      </c>
    </row>
    <row r="24" spans="2:43" x14ac:dyDescent="0.25">
      <c r="B24" s="357" t="s">
        <v>146</v>
      </c>
      <c r="C24" s="350">
        <f>(3.6/2)*C3</f>
        <v>4.8240000000000007</v>
      </c>
      <c r="D24" s="350">
        <f>$AI$11</f>
        <v>7.8000000000000007</v>
      </c>
      <c r="E24" s="350">
        <f>$AF$11</f>
        <v>6</v>
      </c>
      <c r="G24" s="357" t="s">
        <v>146</v>
      </c>
      <c r="H24" s="350">
        <f>((4/2)+(4.6/2))*C3</f>
        <v>11.524000000000001</v>
      </c>
      <c r="I24" s="350">
        <f>$AI$11</f>
        <v>7.8000000000000007</v>
      </c>
      <c r="J24" s="350">
        <f>$AF$11</f>
        <v>6</v>
      </c>
      <c r="L24" s="357" t="s">
        <v>145</v>
      </c>
      <c r="M24" s="350">
        <v>0</v>
      </c>
      <c r="N24" s="350">
        <f>$AI$10</f>
        <v>17.240725948587251</v>
      </c>
      <c r="O24" s="350">
        <f>$AF$10</f>
        <v>11.04671226814404</v>
      </c>
      <c r="Q24" s="357" t="s">
        <v>146</v>
      </c>
      <c r="R24" s="350">
        <f>(1.2*(4/2)+1.2*(4.6/2))*C3</f>
        <v>13.828800000000001</v>
      </c>
      <c r="S24" s="350">
        <f>$AI$11</f>
        <v>7.8000000000000007</v>
      </c>
      <c r="T24" s="350">
        <f>$AF$11</f>
        <v>6</v>
      </c>
      <c r="V24" s="357" t="s">
        <v>146</v>
      </c>
      <c r="W24" s="350">
        <f>(1.2*(4.6/2))*C3</f>
        <v>7.3967999999999998</v>
      </c>
      <c r="X24" s="350">
        <f>$AI$11</f>
        <v>7.8000000000000007</v>
      </c>
      <c r="Y24" s="350">
        <f>$AF$11</f>
        <v>6</v>
      </c>
    </row>
    <row r="25" spans="2:43" x14ac:dyDescent="0.25">
      <c r="B25" s="371"/>
      <c r="C25" s="371"/>
      <c r="D25" s="350">
        <f>C$20*D20+C$21*D21+C$22*D22+C$23*D23+C$24*D24</f>
        <v>102.54174900000001</v>
      </c>
      <c r="E25" s="350">
        <f>C$20*E20+C$21*E21+C$22*E22+C$23*E23+C$24*E24</f>
        <v>69.65673000000001</v>
      </c>
      <c r="G25" s="371"/>
      <c r="H25" s="371"/>
      <c r="I25" s="350">
        <f>H$20*I20+H$21*I21+H$23*I22+H$22*I23+H$24*I24</f>
        <v>349.9468336980936</v>
      </c>
      <c r="J25" s="350">
        <f>H$20*J20+H$21*J21+H$23*J22+H$22*J23+H$24*J24</f>
        <v>230.527487460072</v>
      </c>
      <c r="L25" s="357" t="s">
        <v>146</v>
      </c>
      <c r="M25" s="350">
        <v>0</v>
      </c>
      <c r="N25" s="350">
        <f>$AI$11</f>
        <v>7.8000000000000007</v>
      </c>
      <c r="O25" s="350">
        <f>$AF$11</f>
        <v>6</v>
      </c>
      <c r="Q25" s="371"/>
      <c r="R25" s="371"/>
      <c r="S25" s="350">
        <f>R$20*S20+R$21*S21+R$22*S22+R$23*S23+R$24*S24</f>
        <v>454.50314296966576</v>
      </c>
      <c r="T25" s="350">
        <f>R$20*T20+R$21*T21+R$22*T22+R$23*T23+R$24*T24</f>
        <v>303.99790997666594</v>
      </c>
      <c r="V25" s="371"/>
      <c r="W25" s="371"/>
      <c r="X25" s="350">
        <f>W$20*X20+W$21*X21+W$22*X22+W$23*X23+W$24*X24</f>
        <v>431.62163418466565</v>
      </c>
      <c r="Y25" s="350">
        <f>W$20*Y20+W$21*Y21+W$22*Y22+W$23*Y23+W$24*Y24</f>
        <v>282.07799552666592</v>
      </c>
    </row>
    <row r="26" spans="2:43" x14ac:dyDescent="0.25">
      <c r="B26" s="372" t="s">
        <v>147</v>
      </c>
      <c r="C26" s="372"/>
      <c r="D26" s="350">
        <f>$AG$14</f>
        <v>18.291</v>
      </c>
      <c r="E26" s="350">
        <f>$AF$14</f>
        <v>14.069999999999999</v>
      </c>
      <c r="G26" s="372" t="s">
        <v>147</v>
      </c>
      <c r="H26" s="372"/>
      <c r="I26" s="350">
        <f>$AG$14</f>
        <v>18.291</v>
      </c>
      <c r="J26" s="350">
        <f>$AF$14</f>
        <v>14.069999999999999</v>
      </c>
      <c r="L26" s="371"/>
      <c r="M26" s="371"/>
      <c r="N26" s="350">
        <f>M$20*N20+M$21*N21+M$22*N22+M$24*N24+M$25*N25</f>
        <v>294.26275555500001</v>
      </c>
      <c r="O26" s="350">
        <f>M$20*O20+M$21*O21+M$22*O22+M$24*O24+M$25*O25</f>
        <v>180.70422735</v>
      </c>
      <c r="Q26" s="372" t="s">
        <v>147</v>
      </c>
      <c r="R26" s="372"/>
      <c r="S26" s="350">
        <f>$AG$14</f>
        <v>18.291</v>
      </c>
      <c r="T26" s="350">
        <f>$AF$14</f>
        <v>14.069999999999999</v>
      </c>
      <c r="V26" s="372" t="s">
        <v>147</v>
      </c>
      <c r="W26" s="372"/>
      <c r="X26" s="350">
        <f>$AG$14</f>
        <v>18.291</v>
      </c>
      <c r="Y26" s="350">
        <f>$AF$14</f>
        <v>14.069999999999999</v>
      </c>
    </row>
    <row r="27" spans="2:43" x14ac:dyDescent="0.25">
      <c r="B27" s="372" t="s">
        <v>109</v>
      </c>
      <c r="C27" s="372"/>
      <c r="D27" s="350">
        <f>SUM(D25:D26)</f>
        <v>120.83274900000001</v>
      </c>
      <c r="E27" s="350">
        <f>SUM(E25:E26)</f>
        <v>83.726730000000003</v>
      </c>
      <c r="G27" s="372" t="s">
        <v>109</v>
      </c>
      <c r="H27" s="372"/>
      <c r="I27" s="350">
        <f>SUM(I25:I26)</f>
        <v>368.2378336980936</v>
      </c>
      <c r="J27" s="350">
        <f>SUM(J25:J26)</f>
        <v>244.59748746007199</v>
      </c>
      <c r="L27" s="372" t="s">
        <v>147</v>
      </c>
      <c r="M27" s="372"/>
      <c r="N27" s="350">
        <f>$AG$14</f>
        <v>18.291</v>
      </c>
      <c r="O27" s="350">
        <f>$AF$14</f>
        <v>14.069999999999999</v>
      </c>
      <c r="Q27" s="372" t="s">
        <v>109</v>
      </c>
      <c r="R27" s="372"/>
      <c r="S27" s="350">
        <f>SUM(S25:S26)</f>
        <v>472.79414296966576</v>
      </c>
      <c r="T27" s="350">
        <f>SUM(T25:T26)</f>
        <v>318.06790997666593</v>
      </c>
      <c r="V27" s="372" t="s">
        <v>109</v>
      </c>
      <c r="W27" s="372"/>
      <c r="X27" s="350">
        <f>SUM(X25:X26)</f>
        <v>449.91263418466565</v>
      </c>
      <c r="Y27" s="350">
        <f>SUM(Y25:Y26)</f>
        <v>296.14799552666591</v>
      </c>
    </row>
    <row r="28" spans="2:43" x14ac:dyDescent="0.25">
      <c r="L28" s="372" t="s">
        <v>109</v>
      </c>
      <c r="M28" s="372"/>
      <c r="N28" s="350">
        <f>SUM(N26:N27)</f>
        <v>312.55375555500001</v>
      </c>
      <c r="O28" s="350">
        <f>SUM(O26:O27)</f>
        <v>194.77422734999999</v>
      </c>
    </row>
    <row r="30" spans="2:43" ht="18.75" x14ac:dyDescent="0.3">
      <c r="B30" s="370" t="s">
        <v>152</v>
      </c>
      <c r="C30" s="370"/>
      <c r="D30" s="370"/>
      <c r="E30" s="370"/>
      <c r="G30" s="370" t="s">
        <v>153</v>
      </c>
      <c r="H30" s="370"/>
      <c r="I30" s="370"/>
      <c r="J30" s="370"/>
      <c r="L30" s="370" t="s">
        <v>154</v>
      </c>
      <c r="M30" s="370"/>
      <c r="N30" s="370"/>
      <c r="O30" s="370"/>
      <c r="Q30" s="370" t="s">
        <v>155</v>
      </c>
      <c r="R30" s="370"/>
      <c r="S30" s="370"/>
      <c r="T30" s="370"/>
      <c r="V30" s="370" t="s">
        <v>156</v>
      </c>
      <c r="W30" s="370"/>
      <c r="X30" s="370"/>
      <c r="Y30" s="370"/>
    </row>
    <row r="31" spans="2:43" x14ac:dyDescent="0.25">
      <c r="B31" s="357"/>
      <c r="C31" s="357" t="s">
        <v>140</v>
      </c>
      <c r="D31" s="357" t="s">
        <v>102</v>
      </c>
      <c r="E31" s="357" t="s">
        <v>160</v>
      </c>
      <c r="G31" s="357"/>
      <c r="H31" s="357" t="s">
        <v>140</v>
      </c>
      <c r="I31" s="357" t="s">
        <v>102</v>
      </c>
      <c r="J31" s="357" t="s">
        <v>160</v>
      </c>
      <c r="L31" s="357"/>
      <c r="M31" s="357" t="s">
        <v>140</v>
      </c>
      <c r="N31" s="357" t="s">
        <v>102</v>
      </c>
      <c r="O31" s="357" t="s">
        <v>160</v>
      </c>
      <c r="Q31" s="357"/>
      <c r="R31" s="357" t="s">
        <v>140</v>
      </c>
      <c r="S31" s="357" t="s">
        <v>102</v>
      </c>
      <c r="T31" s="357" t="s">
        <v>160</v>
      </c>
      <c r="V31" s="357"/>
      <c r="W31" s="357" t="s">
        <v>140</v>
      </c>
      <c r="X31" s="357" t="s">
        <v>102</v>
      </c>
      <c r="Y31" s="357" t="s">
        <v>160</v>
      </c>
    </row>
    <row r="32" spans="2:43" x14ac:dyDescent="0.25">
      <c r="B32" s="357" t="s">
        <v>142</v>
      </c>
      <c r="C32" s="350">
        <f>1.2*(4.8/2)*(4.8/2)+1.2*(4.8/2)*(5/2)+1.2*(4.5/2)*(4.8/2)+1.2*(4.5/2)*(5/2)</f>
        <v>27.341999999999999</v>
      </c>
      <c r="D32" s="350">
        <f>$AI$7</f>
        <v>10.056335000000001</v>
      </c>
      <c r="E32" s="350">
        <f>$AF$7</f>
        <v>6.0279500000000006</v>
      </c>
      <c r="G32" s="357" t="s">
        <v>142</v>
      </c>
      <c r="H32" s="350">
        <f>1.2*(4.5/2)*(4.8/2)+1.2*(4.5/2)*(5/2)</f>
        <v>13.229999999999999</v>
      </c>
      <c r="I32" s="350">
        <f>$AI$7</f>
        <v>10.056335000000001</v>
      </c>
      <c r="J32" s="350">
        <f>$AF$7</f>
        <v>6.0279500000000006</v>
      </c>
      <c r="L32" s="357" t="s">
        <v>142</v>
      </c>
      <c r="M32" s="350">
        <f>(5.3/2)*(5/2)</f>
        <v>6.625</v>
      </c>
      <c r="N32" s="350">
        <f>$AI$7</f>
        <v>10.056335000000001</v>
      </c>
      <c r="O32" s="350">
        <f>$AF$7</f>
        <v>6.0279500000000006</v>
      </c>
      <c r="Q32" s="357" t="s">
        <v>142</v>
      </c>
      <c r="R32" s="350">
        <f>(5.3/2)*(5/2)+(3.9/2)*(5/2)</f>
        <v>11.5</v>
      </c>
      <c r="S32" s="350">
        <f>$AI$7</f>
        <v>10.056335000000001</v>
      </c>
      <c r="T32" s="350">
        <f>$AF$7</f>
        <v>6.0279500000000006</v>
      </c>
      <c r="V32" s="357" t="s">
        <v>142</v>
      </c>
      <c r="W32" s="350">
        <f>(3.9/2)*(5/2)</f>
        <v>4.875</v>
      </c>
      <c r="X32" s="350">
        <f>$AI$7</f>
        <v>10.056335000000001</v>
      </c>
      <c r="Y32" s="350">
        <f>$AF$7</f>
        <v>6.0279500000000006</v>
      </c>
    </row>
    <row r="33" spans="2:25" x14ac:dyDescent="0.25">
      <c r="B33" s="357" t="s">
        <v>143</v>
      </c>
      <c r="C33" s="350">
        <v>0</v>
      </c>
      <c r="D33" s="350">
        <f>$AI$9</f>
        <v>10.560335</v>
      </c>
      <c r="E33" s="350">
        <f>$AF$9</f>
        <v>5.9079499999999996</v>
      </c>
      <c r="G33" s="357" t="s">
        <v>143</v>
      </c>
      <c r="H33" s="350">
        <v>0</v>
      </c>
      <c r="I33" s="350">
        <f>$AI$9</f>
        <v>10.560335</v>
      </c>
      <c r="J33" s="350">
        <f>$AF$9</f>
        <v>5.9079499999999996</v>
      </c>
      <c r="L33" s="357" t="s">
        <v>143</v>
      </c>
      <c r="M33" s="350">
        <v>0</v>
      </c>
      <c r="N33" s="350">
        <f>$AI$9</f>
        <v>10.560335</v>
      </c>
      <c r="O33" s="350">
        <f>$AF$9</f>
        <v>5.9079499999999996</v>
      </c>
      <c r="Q33" s="357" t="s">
        <v>143</v>
      </c>
      <c r="R33" s="350">
        <f>(4.4/2)*1.5</f>
        <v>3.3000000000000003</v>
      </c>
      <c r="S33" s="350">
        <f>$AI$9</f>
        <v>10.560335</v>
      </c>
      <c r="T33" s="350">
        <f>$AF$9</f>
        <v>5.9079499999999996</v>
      </c>
      <c r="V33" s="357" t="s">
        <v>143</v>
      </c>
      <c r="W33" s="350">
        <f>(4.4/2)*1.5</f>
        <v>3.3000000000000003</v>
      </c>
      <c r="X33" s="350">
        <f>$AI$9</f>
        <v>10.560335</v>
      </c>
      <c r="Y33" s="350">
        <f>$AF$9</f>
        <v>5.9079499999999996</v>
      </c>
    </row>
    <row r="34" spans="2:25" x14ac:dyDescent="0.25">
      <c r="B34" s="357" t="s">
        <v>144</v>
      </c>
      <c r="C34" s="350">
        <f>(4.94/2)+1.2*(4.65/2)</f>
        <v>5.26</v>
      </c>
      <c r="D34" s="350">
        <f>$AI$15</f>
        <v>4.758</v>
      </c>
      <c r="E34" s="350">
        <f>$AF$15</f>
        <v>3.66</v>
      </c>
      <c r="G34" s="357" t="s">
        <v>144</v>
      </c>
      <c r="H34" s="350">
        <f>1.2*(5.05/2)+1.2*(4.95/2)+(4.65/2)</f>
        <v>8.3249999999999993</v>
      </c>
      <c r="I34" s="350">
        <f>$AI$15</f>
        <v>4.758</v>
      </c>
      <c r="J34" s="350">
        <f>$AF$15</f>
        <v>3.66</v>
      </c>
      <c r="L34" s="357" t="s">
        <v>144</v>
      </c>
      <c r="M34" s="350">
        <f>(5.15/2)+(5.25/2)</f>
        <v>5.2</v>
      </c>
      <c r="N34" s="350">
        <f>$AI$15</f>
        <v>4.758</v>
      </c>
      <c r="O34" s="350">
        <f>$AF$15</f>
        <v>3.66</v>
      </c>
      <c r="Q34" s="357" t="s">
        <v>144</v>
      </c>
      <c r="R34" s="350">
        <f>1.2*(5.25/2)+(4.15/2)</f>
        <v>5.2249999999999996</v>
      </c>
      <c r="S34" s="350">
        <f>$AI$15</f>
        <v>4.758</v>
      </c>
      <c r="T34" s="350">
        <f>$AF$15</f>
        <v>3.66</v>
      </c>
      <c r="V34" s="357" t="s">
        <v>144</v>
      </c>
      <c r="W34" s="350">
        <f>(4.15/2)+(4.5/2)+(5.44/2)</f>
        <v>7.0449999999999999</v>
      </c>
      <c r="X34" s="350">
        <f>$AI$15</f>
        <v>4.758</v>
      </c>
      <c r="Y34" s="350">
        <f>$AF$15</f>
        <v>3.66</v>
      </c>
    </row>
    <row r="35" spans="2:25" x14ac:dyDescent="0.25">
      <c r="B35" s="357" t="s">
        <v>144</v>
      </c>
      <c r="C35" s="350">
        <f>1.2*(5.05/2)+1.2*(5.15/2)</f>
        <v>6.12</v>
      </c>
      <c r="D35" s="350">
        <f>$AI$13</f>
        <v>1.2150000000000003</v>
      </c>
      <c r="E35" s="350">
        <f>$AF$13</f>
        <v>0.81000000000000016</v>
      </c>
      <c r="G35" s="357" t="s">
        <v>145</v>
      </c>
      <c r="H35" s="350">
        <v>0</v>
      </c>
      <c r="I35" s="350">
        <f>$AI$10</f>
        <v>17.240725948587251</v>
      </c>
      <c r="J35" s="350">
        <f>$AF$10</f>
        <v>11.04671226814404</v>
      </c>
      <c r="L35" s="357" t="s">
        <v>145</v>
      </c>
      <c r="M35" s="350">
        <v>0</v>
      </c>
      <c r="N35" s="350">
        <f>$AI$10</f>
        <v>17.240725948587251</v>
      </c>
      <c r="O35" s="350">
        <f>$AF$10</f>
        <v>11.04671226814404</v>
      </c>
      <c r="Q35" s="357" t="s">
        <v>144</v>
      </c>
      <c r="R35" s="350">
        <f>(5.15/2)</f>
        <v>2.5750000000000002</v>
      </c>
      <c r="S35" s="350">
        <f>$AI$13</f>
        <v>1.2150000000000003</v>
      </c>
      <c r="T35" s="350">
        <f>$AF$13</f>
        <v>0.81000000000000016</v>
      </c>
      <c r="V35" s="357" t="s">
        <v>145</v>
      </c>
      <c r="W35" s="350">
        <f>(4.2/2)*(5.3/2)</f>
        <v>5.5650000000000004</v>
      </c>
      <c r="X35" s="350">
        <f>$AI$10</f>
        <v>17.240725948587251</v>
      </c>
      <c r="Y35" s="350">
        <f>$AF$10</f>
        <v>11.04671226814404</v>
      </c>
    </row>
    <row r="36" spans="2:25" x14ac:dyDescent="0.25">
      <c r="B36" s="357" t="s">
        <v>145</v>
      </c>
      <c r="C36" s="350">
        <v>0</v>
      </c>
      <c r="D36" s="350">
        <f>$AI$10</f>
        <v>17.240725948587251</v>
      </c>
      <c r="E36" s="350">
        <f>$AF$10</f>
        <v>11.04671226814404</v>
      </c>
      <c r="G36" s="357" t="s">
        <v>146</v>
      </c>
      <c r="H36" s="350">
        <f>(1.2*(4.5/2)+1.2*(4.2/2))*C3</f>
        <v>13.989599999999999</v>
      </c>
      <c r="I36" s="350">
        <f>$AI$11</f>
        <v>7.8000000000000007</v>
      </c>
      <c r="J36" s="350">
        <f>$AF$11</f>
        <v>6</v>
      </c>
      <c r="L36" s="357" t="s">
        <v>146</v>
      </c>
      <c r="M36" s="350">
        <f>((4.6/2)+(4.4/2))*C3</f>
        <v>12.06</v>
      </c>
      <c r="N36" s="350">
        <f>$AI$11</f>
        <v>7.8000000000000007</v>
      </c>
      <c r="O36" s="350">
        <f>$AF$11</f>
        <v>6</v>
      </c>
      <c r="Q36" s="357" t="s">
        <v>145</v>
      </c>
      <c r="R36" s="350">
        <v>0</v>
      </c>
      <c r="S36" s="350">
        <f>$AI$10</f>
        <v>17.240725948587251</v>
      </c>
      <c r="T36" s="350">
        <f>$AF$10</f>
        <v>11.04671226814404</v>
      </c>
      <c r="V36" s="357" t="s">
        <v>146</v>
      </c>
      <c r="W36" s="350">
        <f>((3.6/2)+(4.2/2)+(4.6/2))*C3</f>
        <v>16.616000000000003</v>
      </c>
      <c r="X36" s="350">
        <f>$AI$11</f>
        <v>7.8000000000000007</v>
      </c>
      <c r="Y36" s="350">
        <f>$AF$11</f>
        <v>6</v>
      </c>
    </row>
    <row r="37" spans="2:25" x14ac:dyDescent="0.25">
      <c r="B37" s="357" t="s">
        <v>146</v>
      </c>
      <c r="C37" s="350">
        <v>0</v>
      </c>
      <c r="D37" s="350">
        <f>$AI$11</f>
        <v>7.8000000000000007</v>
      </c>
      <c r="E37" s="350">
        <f>$AF$11</f>
        <v>6</v>
      </c>
      <c r="G37" s="371"/>
      <c r="H37" s="371"/>
      <c r="I37" s="350">
        <f>H$32*I32+H$33*I33+H$34*I34+H$35*I35+H$36*I36</f>
        <v>281.77454204999998</v>
      </c>
      <c r="J37" s="350">
        <f>H$32*J32+H$33*J33+H$34*J34+H$35*J35+H$36*J36</f>
        <v>194.1568785</v>
      </c>
      <c r="L37" s="371"/>
      <c r="M37" s="371"/>
      <c r="N37" s="350">
        <f>M$32*N32+M$33*N33+M$34*N34+M$35*N35+M$36*N36</f>
        <v>185.43281937500001</v>
      </c>
      <c r="O37" s="350">
        <f>M$32*O32+M$33*O33+M$34*O34+M$35*O35+M$36*O36</f>
        <v>131.32716875</v>
      </c>
      <c r="Q37" s="357" t="s">
        <v>146</v>
      </c>
      <c r="R37" s="350">
        <f>((4.4/2)+(3.6/2))*C3</f>
        <v>10.72</v>
      </c>
      <c r="S37" s="350">
        <f>$AI$11</f>
        <v>7.8000000000000007</v>
      </c>
      <c r="T37" s="350">
        <f>$AF$11</f>
        <v>6</v>
      </c>
      <c r="V37" s="371"/>
      <c r="W37" s="371"/>
      <c r="X37" s="350">
        <f>W$32*X32+W$33*X33+W$34*X34+W$35*X35+W$36*X36</f>
        <v>342.9432885288881</v>
      </c>
      <c r="Y37" s="350">
        <f>W$32*Y32+W$33*Y33+W$34*Y34+W$35*Y35+W$36*Y36</f>
        <v>235.83814502222162</v>
      </c>
    </row>
    <row r="38" spans="2:25" x14ac:dyDescent="0.25">
      <c r="B38" s="371"/>
      <c r="C38" s="371"/>
      <c r="D38" s="350">
        <f>C$32*D32+C$33*D33+C$34*D34+C$36*D36+C$37*D37</f>
        <v>299.98739157</v>
      </c>
      <c r="E38" s="350">
        <f>C32*E32+C33*E33+C34*E34+C36*E36+C37*E37</f>
        <v>184.06780890000002</v>
      </c>
      <c r="G38" s="372" t="s">
        <v>147</v>
      </c>
      <c r="H38" s="372"/>
      <c r="I38" s="350">
        <f>$AG$14</f>
        <v>18.291</v>
      </c>
      <c r="J38" s="350">
        <f>$AF$14</f>
        <v>14.069999999999999</v>
      </c>
      <c r="L38" s="372" t="s">
        <v>147</v>
      </c>
      <c r="M38" s="372"/>
      <c r="N38" s="350">
        <f>$AG$14</f>
        <v>18.291</v>
      </c>
      <c r="O38" s="350">
        <f>$AF$14</f>
        <v>14.069999999999999</v>
      </c>
      <c r="Q38" s="371"/>
      <c r="R38" s="371"/>
      <c r="S38" s="350">
        <f>R$32*S32+R$33*S33+R$34*S34+R$36*S36+R$37*S37</f>
        <v>258.97350800000004</v>
      </c>
      <c r="T38" s="350">
        <f>R$32*T32+R$33*T33+R$34*T34+R$36*T36+R$37*T37</f>
        <v>172.26116000000002</v>
      </c>
      <c r="V38" s="372" t="s">
        <v>147</v>
      </c>
      <c r="W38" s="372"/>
      <c r="X38" s="350">
        <f>$AG$14</f>
        <v>18.291</v>
      </c>
      <c r="Y38" s="350">
        <f>$AF$14</f>
        <v>14.069999999999999</v>
      </c>
    </row>
    <row r="39" spans="2:25" x14ac:dyDescent="0.25">
      <c r="B39" s="372" t="s">
        <v>147</v>
      </c>
      <c r="C39" s="372"/>
      <c r="D39" s="350">
        <f>$AG$14</f>
        <v>18.291</v>
      </c>
      <c r="E39" s="350">
        <f>$AF$14</f>
        <v>14.069999999999999</v>
      </c>
      <c r="G39" s="372" t="s">
        <v>109</v>
      </c>
      <c r="H39" s="372"/>
      <c r="I39" s="350">
        <f>SUM(I37:I38)</f>
        <v>300.06554204999998</v>
      </c>
      <c r="J39" s="350">
        <f>SUM(J37:J38)</f>
        <v>208.2268785</v>
      </c>
      <c r="L39" s="372" t="s">
        <v>109</v>
      </c>
      <c r="M39" s="372"/>
      <c r="N39" s="350">
        <f>SUM(N37:N38)</f>
        <v>203.72381937500001</v>
      </c>
      <c r="O39" s="350">
        <f>SUM(O37:O38)</f>
        <v>145.39716874999999</v>
      </c>
      <c r="Q39" s="372" t="s">
        <v>147</v>
      </c>
      <c r="R39" s="372"/>
      <c r="S39" s="350">
        <f>$AG$14</f>
        <v>18.291</v>
      </c>
      <c r="T39" s="350">
        <f>$AF$14</f>
        <v>14.069999999999999</v>
      </c>
      <c r="V39" s="372" t="s">
        <v>109</v>
      </c>
      <c r="W39" s="372"/>
      <c r="X39" s="350">
        <f>SUM(X37:X38)</f>
        <v>361.2342885288881</v>
      </c>
      <c r="Y39" s="350">
        <f>SUM(Y37:Y38)</f>
        <v>249.90814502222162</v>
      </c>
    </row>
    <row r="40" spans="2:25" x14ac:dyDescent="0.25">
      <c r="B40" s="372" t="s">
        <v>109</v>
      </c>
      <c r="C40" s="372"/>
      <c r="D40" s="350">
        <f>SUM(D38:D39)</f>
        <v>318.27839157</v>
      </c>
      <c r="E40" s="350">
        <f>SUM(E38:E39)</f>
        <v>198.13780890000001</v>
      </c>
      <c r="Q40" s="372" t="s">
        <v>109</v>
      </c>
      <c r="R40" s="372"/>
      <c r="S40" s="350">
        <f>SUM(S38:S39)</f>
        <v>277.26450800000003</v>
      </c>
      <c r="T40" s="350">
        <f>SUM(T38:T39)</f>
        <v>186.33116000000001</v>
      </c>
    </row>
    <row r="42" spans="2:25" ht="18.75" x14ac:dyDescent="0.3">
      <c r="B42" s="370" t="s">
        <v>157</v>
      </c>
      <c r="C42" s="370"/>
      <c r="D42" s="370"/>
      <c r="E42" s="370"/>
      <c r="G42" s="370" t="s">
        <v>158</v>
      </c>
      <c r="H42" s="370"/>
      <c r="I42" s="370"/>
      <c r="J42" s="370"/>
      <c r="L42" s="370" t="s">
        <v>159</v>
      </c>
      <c r="M42" s="370"/>
      <c r="N42" s="370"/>
      <c r="O42" s="370"/>
    </row>
    <row r="43" spans="2:25" x14ac:dyDescent="0.25">
      <c r="B43" s="357"/>
      <c r="C43" s="357" t="s">
        <v>140</v>
      </c>
      <c r="D43" s="357" t="s">
        <v>102</v>
      </c>
      <c r="E43" s="357" t="s">
        <v>160</v>
      </c>
      <c r="G43" s="357"/>
      <c r="H43" s="357" t="s">
        <v>140</v>
      </c>
      <c r="I43" s="357" t="s">
        <v>102</v>
      </c>
      <c r="J43" s="357" t="s">
        <v>160</v>
      </c>
      <c r="L43" s="357"/>
      <c r="M43" s="357" t="s">
        <v>140</v>
      </c>
      <c r="N43" s="357" t="s">
        <v>102</v>
      </c>
      <c r="O43" s="357" t="s">
        <v>160</v>
      </c>
    </row>
    <row r="44" spans="2:25" x14ac:dyDescent="0.25">
      <c r="B44" s="357" t="s">
        <v>142</v>
      </c>
      <c r="C44" s="350">
        <f>(4.8/2)*(5/2)</f>
        <v>6</v>
      </c>
      <c r="D44" s="350">
        <f>$AI$7</f>
        <v>10.056335000000001</v>
      </c>
      <c r="E44" s="350">
        <f>$AF$7</f>
        <v>6.0279500000000006</v>
      </c>
      <c r="G44" s="357" t="s">
        <v>142</v>
      </c>
      <c r="H44" s="350">
        <f>(4.8/2)*(5/2)+(4.5/2)*(5/2)</f>
        <v>11.625</v>
      </c>
      <c r="I44" s="350">
        <f>$AI$7</f>
        <v>10.056335000000001</v>
      </c>
      <c r="J44" s="350">
        <f>$AF$7</f>
        <v>6.0279500000000006</v>
      </c>
      <c r="L44" s="357" t="s">
        <v>142</v>
      </c>
      <c r="M44" s="350">
        <f>(4.5/2)*(5/2)</f>
        <v>5.625</v>
      </c>
      <c r="N44" s="350">
        <f>$AI$7</f>
        <v>10.056335000000001</v>
      </c>
      <c r="O44" s="350">
        <f>$AF$7</f>
        <v>6.0279500000000006</v>
      </c>
    </row>
    <row r="45" spans="2:25" x14ac:dyDescent="0.25">
      <c r="B45" s="357" t="s">
        <v>143</v>
      </c>
      <c r="C45" s="350">
        <f>(4.4/2)*1.5</f>
        <v>3.3000000000000003</v>
      </c>
      <c r="D45" s="350">
        <f>$AI$9</f>
        <v>10.560335</v>
      </c>
      <c r="E45" s="350">
        <f>$AF$9</f>
        <v>5.9079499999999996</v>
      </c>
      <c r="G45" s="357" t="s">
        <v>143</v>
      </c>
      <c r="H45" s="350">
        <f>(4.4/2)*1.5</f>
        <v>3.3000000000000003</v>
      </c>
      <c r="I45" s="350">
        <f>$AI$9</f>
        <v>10.560335</v>
      </c>
      <c r="J45" s="350">
        <f>$AF$9</f>
        <v>5.9079499999999996</v>
      </c>
      <c r="L45" s="357" t="s">
        <v>143</v>
      </c>
      <c r="M45" s="350">
        <v>0</v>
      </c>
      <c r="N45" s="350">
        <f>$AI$9</f>
        <v>10.560335</v>
      </c>
      <c r="O45" s="350">
        <f>$AF$9</f>
        <v>5.9079499999999996</v>
      </c>
    </row>
    <row r="46" spans="2:25" x14ac:dyDescent="0.25">
      <c r="B46" s="357" t="s">
        <v>144</v>
      </c>
      <c r="C46" s="350">
        <f>(4.5/2)+(4.95/2)+(5.44/2)</f>
        <v>7.4450000000000003</v>
      </c>
      <c r="D46" s="350">
        <f>$AI$15</f>
        <v>4.758</v>
      </c>
      <c r="E46" s="350">
        <f>$AF$15</f>
        <v>3.66</v>
      </c>
      <c r="G46" s="357" t="s">
        <v>144</v>
      </c>
      <c r="H46" s="350">
        <f>(4.95/2)+(4.65/2)</f>
        <v>4.8000000000000007</v>
      </c>
      <c r="I46" s="350">
        <f>$AI$15</f>
        <v>4.758</v>
      </c>
      <c r="J46" s="350">
        <f>$AF$15</f>
        <v>3.66</v>
      </c>
      <c r="L46" s="357" t="s">
        <v>144</v>
      </c>
      <c r="M46" s="350">
        <f>(4.65/2)+(4.95/2)</f>
        <v>4.8000000000000007</v>
      </c>
      <c r="N46" s="350">
        <f>$AI$15</f>
        <v>4.758</v>
      </c>
      <c r="O46" s="350">
        <f>$AF$15</f>
        <v>3.66</v>
      </c>
    </row>
    <row r="47" spans="2:25" x14ac:dyDescent="0.25">
      <c r="B47" s="357" t="s">
        <v>145</v>
      </c>
      <c r="C47" s="350">
        <f>(4.2/2)*(5.3/2)</f>
        <v>5.5650000000000004</v>
      </c>
      <c r="D47" s="350">
        <f>$AI$10</f>
        <v>17.240725948587251</v>
      </c>
      <c r="E47" s="350">
        <f>$AF$10</f>
        <v>11.04671226814404</v>
      </c>
      <c r="G47" s="357" t="s">
        <v>144</v>
      </c>
      <c r="H47" s="350">
        <f>(5.15/2)</f>
        <v>2.5750000000000002</v>
      </c>
      <c r="I47" s="350">
        <f>$AI$13</f>
        <v>1.2150000000000003</v>
      </c>
      <c r="J47" s="350">
        <f>$AF$13</f>
        <v>0.81000000000000016</v>
      </c>
      <c r="L47" s="357" t="s">
        <v>145</v>
      </c>
      <c r="M47" s="350">
        <v>0</v>
      </c>
      <c r="N47" s="350">
        <f>$AI$10</f>
        <v>17.240725948587251</v>
      </c>
      <c r="O47" s="350">
        <f>$AF$10</f>
        <v>11.04671226814404</v>
      </c>
    </row>
    <row r="48" spans="2:25" x14ac:dyDescent="0.25">
      <c r="B48" s="357" t="s">
        <v>146</v>
      </c>
      <c r="C48" s="350">
        <f>((4.2/2)+(4.6/2)+(4.4/2))*C3</f>
        <v>17.688000000000002</v>
      </c>
      <c r="D48" s="350">
        <f>$AI$11</f>
        <v>7.8000000000000007</v>
      </c>
      <c r="E48" s="350">
        <f>$AF$11</f>
        <v>6</v>
      </c>
      <c r="G48" s="357" t="s">
        <v>145</v>
      </c>
      <c r="H48" s="350">
        <v>0</v>
      </c>
      <c r="I48" s="350">
        <f>$AI$10</f>
        <v>17.240725948587251</v>
      </c>
      <c r="J48" s="350">
        <f>$AF$10</f>
        <v>11.04671226814404</v>
      </c>
      <c r="L48" s="357" t="s">
        <v>146</v>
      </c>
      <c r="M48" s="350">
        <f>((4.1/2)+(4.2/2))*C3</f>
        <v>11.122000000000002</v>
      </c>
      <c r="N48" s="350">
        <f>$AI$11</f>
        <v>7.8000000000000007</v>
      </c>
      <c r="O48" s="350">
        <f>$AF$11</f>
        <v>6</v>
      </c>
    </row>
    <row r="49" spans="2:15" x14ac:dyDescent="0.25">
      <c r="B49" s="371"/>
      <c r="C49" s="371"/>
      <c r="D49" s="350">
        <f>C$44*D44+C$45*D45+C$46*D46+C$47*D47+C$48*D48</f>
        <v>364.5214654038881</v>
      </c>
      <c r="E49" s="350">
        <f>C$44*E44+C$45*E45+C$46*E46+C$47*E47+C$48*E48</f>
        <v>250.51558877222161</v>
      </c>
      <c r="G49" s="357" t="s">
        <v>146</v>
      </c>
      <c r="H49" s="350">
        <f>((4.4/2)+(4.1/2))*C3</f>
        <v>11.39</v>
      </c>
      <c r="I49" s="350">
        <f>$AI$11</f>
        <v>7.8000000000000007</v>
      </c>
      <c r="J49" s="350">
        <f>$AF$11</f>
        <v>6</v>
      </c>
      <c r="L49" s="371"/>
      <c r="M49" s="371"/>
      <c r="N49" s="350">
        <f>M$44*N44+M$45*N45+M$46*N46+M$47*N47+M$48*N48</f>
        <v>166.15688437500003</v>
      </c>
      <c r="O49" s="350">
        <f>M$44*O44+M$45*O45+M$46*O46+M$47*O47+M$48*O48</f>
        <v>118.20721875000002</v>
      </c>
    </row>
    <row r="50" spans="2:15" x14ac:dyDescent="0.25">
      <c r="B50" s="372" t="s">
        <v>147</v>
      </c>
      <c r="C50" s="372"/>
      <c r="D50" s="350">
        <f>$AG$14</f>
        <v>18.291</v>
      </c>
      <c r="E50" s="350">
        <f>$AF$14</f>
        <v>14.069999999999999</v>
      </c>
      <c r="G50" s="371"/>
      <c r="H50" s="371"/>
      <c r="I50" s="350">
        <f>H$44*I44+H$45*I45+H$46*I46+H$48*I48+H$49*I49</f>
        <v>263.43439987500005</v>
      </c>
      <c r="J50" s="350">
        <f>H$44*J44+H$45*J45+H$46*J46+H$48*J48+H$49*J49</f>
        <v>175.47915375000002</v>
      </c>
      <c r="L50" s="372" t="s">
        <v>147</v>
      </c>
      <c r="M50" s="372"/>
      <c r="N50" s="350">
        <f>$AG$14</f>
        <v>18.291</v>
      </c>
      <c r="O50" s="350">
        <f>$AF$14</f>
        <v>14.069999999999999</v>
      </c>
    </row>
    <row r="51" spans="2:15" x14ac:dyDescent="0.25">
      <c r="B51" s="372" t="s">
        <v>109</v>
      </c>
      <c r="C51" s="372"/>
      <c r="D51" s="350">
        <f>SUM(D49:D50)</f>
        <v>382.8124654038881</v>
      </c>
      <c r="E51" s="350">
        <f>SUM(E49:E50)</f>
        <v>264.58558877222163</v>
      </c>
      <c r="G51" s="372" t="s">
        <v>147</v>
      </c>
      <c r="H51" s="372"/>
      <c r="I51" s="350">
        <f>$AG$14</f>
        <v>18.291</v>
      </c>
      <c r="J51" s="350">
        <f>$AF$14</f>
        <v>14.069999999999999</v>
      </c>
      <c r="L51" s="372" t="s">
        <v>109</v>
      </c>
      <c r="M51" s="372"/>
      <c r="N51" s="350">
        <f>SUM(N49:N50)</f>
        <v>184.44788437500003</v>
      </c>
      <c r="O51" s="350">
        <f>SUM(O49:O50)</f>
        <v>132.27721875000003</v>
      </c>
    </row>
    <row r="52" spans="2:15" x14ac:dyDescent="0.25">
      <c r="G52" s="372" t="s">
        <v>109</v>
      </c>
      <c r="H52" s="372"/>
      <c r="I52" s="350">
        <f>SUM(I50:I51)</f>
        <v>281.72539987500005</v>
      </c>
      <c r="J52" s="350">
        <f>SUM(J50:J51)</f>
        <v>189.54915375000002</v>
      </c>
    </row>
  </sheetData>
  <mergeCells count="100">
    <mergeCell ref="V6:Y6"/>
    <mergeCell ref="B2:C2"/>
    <mergeCell ref="B6:E6"/>
    <mergeCell ref="G6:J6"/>
    <mergeCell ref="L6:O6"/>
    <mergeCell ref="Q6:T6"/>
    <mergeCell ref="AA6:AB6"/>
    <mergeCell ref="AA7:AB7"/>
    <mergeCell ref="AA8:AB8"/>
    <mergeCell ref="AA9:AB9"/>
    <mergeCell ref="AA10:AB10"/>
    <mergeCell ref="B13:C13"/>
    <mergeCell ref="L13:M13"/>
    <mergeCell ref="Q13:R13"/>
    <mergeCell ref="AA13:AB13"/>
    <mergeCell ref="B14:C14"/>
    <mergeCell ref="L14:M14"/>
    <mergeCell ref="Q14:R14"/>
    <mergeCell ref="V14:W14"/>
    <mergeCell ref="AA14:AB14"/>
    <mergeCell ref="B15:C15"/>
    <mergeCell ref="G15:H15"/>
    <mergeCell ref="L15:M15"/>
    <mergeCell ref="Q15:R15"/>
    <mergeCell ref="V15:W15"/>
    <mergeCell ref="G16:H16"/>
    <mergeCell ref="V16:W16"/>
    <mergeCell ref="B18:E18"/>
    <mergeCell ref="G18:J18"/>
    <mergeCell ref="L18:O18"/>
    <mergeCell ref="Q18:T18"/>
    <mergeCell ref="V18:Y18"/>
    <mergeCell ref="AA18:AC18"/>
    <mergeCell ref="AK8:AN8"/>
    <mergeCell ref="AK9:AN9"/>
    <mergeCell ref="AK10:AN10"/>
    <mergeCell ref="AK12:AN12"/>
    <mergeCell ref="AA15:AB15"/>
    <mergeCell ref="AA12:AB12"/>
    <mergeCell ref="AA11:AB11"/>
    <mergeCell ref="AA19:AC19"/>
    <mergeCell ref="AA20:AC20"/>
    <mergeCell ref="B25:C25"/>
    <mergeCell ref="G25:H25"/>
    <mergeCell ref="Q25:R25"/>
    <mergeCell ref="V25:W25"/>
    <mergeCell ref="B26:C26"/>
    <mergeCell ref="G26:H26"/>
    <mergeCell ref="L26:M26"/>
    <mergeCell ref="Q26:R26"/>
    <mergeCell ref="V26:W26"/>
    <mergeCell ref="V30:Y30"/>
    <mergeCell ref="B27:C27"/>
    <mergeCell ref="G27:H27"/>
    <mergeCell ref="L27:M27"/>
    <mergeCell ref="Q27:R27"/>
    <mergeCell ref="V27:W27"/>
    <mergeCell ref="L28:M28"/>
    <mergeCell ref="B30:E30"/>
    <mergeCell ref="G30:J30"/>
    <mergeCell ref="L30:O30"/>
    <mergeCell ref="Q30:T30"/>
    <mergeCell ref="G52:H52"/>
    <mergeCell ref="AA17:AD17"/>
    <mergeCell ref="B42:E42"/>
    <mergeCell ref="G42:J42"/>
    <mergeCell ref="L42:O42"/>
    <mergeCell ref="B49:C49"/>
    <mergeCell ref="L49:M49"/>
    <mergeCell ref="B50:C50"/>
    <mergeCell ref="G50:H50"/>
    <mergeCell ref="L50:M50"/>
    <mergeCell ref="B39:C39"/>
    <mergeCell ref="G39:H39"/>
    <mergeCell ref="L39:M39"/>
    <mergeCell ref="Q39:R39"/>
    <mergeCell ref="V39:W39"/>
    <mergeCell ref="B40:C40"/>
    <mergeCell ref="AK16:AN16"/>
    <mergeCell ref="AK17:AN17"/>
    <mergeCell ref="AK18:AN18"/>
    <mergeCell ref="B51:C51"/>
    <mergeCell ref="G51:H51"/>
    <mergeCell ref="L51:M51"/>
    <mergeCell ref="Q40:R40"/>
    <mergeCell ref="G37:H37"/>
    <mergeCell ref="L37:M37"/>
    <mergeCell ref="V37:W37"/>
    <mergeCell ref="B38:C38"/>
    <mergeCell ref="G38:H38"/>
    <mergeCell ref="L38:M38"/>
    <mergeCell ref="Q38:R38"/>
    <mergeCell ref="V38:W38"/>
    <mergeCell ref="AK19:AN19"/>
    <mergeCell ref="AK6:AQ6"/>
    <mergeCell ref="AK7:AN7"/>
    <mergeCell ref="AK13:AN13"/>
    <mergeCell ref="AK14:AN14"/>
    <mergeCell ref="AK15:AN15"/>
    <mergeCell ref="AK11:AN11"/>
  </mergeCells>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Q52"/>
  <sheetViews>
    <sheetView zoomScaleNormal="100" workbookViewId="0">
      <selection activeCell="F6" sqref="F6"/>
    </sheetView>
  </sheetViews>
  <sheetFormatPr defaultRowHeight="15" x14ac:dyDescent="0.25"/>
  <cols>
    <col min="1" max="1" width="9.140625" style="60"/>
    <col min="2" max="2" width="14.28515625" style="60" customWidth="1"/>
    <col min="3" max="6" width="9.140625" style="60"/>
    <col min="7" max="7" width="12.7109375" style="60" customWidth="1"/>
    <col min="8" max="11" width="9.140625" style="60"/>
    <col min="12" max="12" width="12.5703125" style="60" customWidth="1"/>
    <col min="13" max="16" width="9.140625" style="60"/>
    <col min="17" max="17" width="12.42578125" style="60" customWidth="1"/>
    <col min="18" max="21" width="9.140625" style="60"/>
    <col min="22" max="22" width="12.42578125" style="60" customWidth="1"/>
    <col min="23" max="27" width="9.140625" style="60"/>
    <col min="28" max="28" width="9.140625" style="60" customWidth="1"/>
    <col min="29" max="36" width="9.140625" style="60"/>
    <col min="37" max="39" width="9.5703125" style="60" customWidth="1"/>
    <col min="40" max="40" width="10.28515625" style="60" customWidth="1"/>
    <col min="41" max="16384" width="9.140625" style="60"/>
  </cols>
  <sheetData>
    <row r="2" spans="2:43" x14ac:dyDescent="0.25">
      <c r="B2" s="316" t="s">
        <v>361</v>
      </c>
      <c r="C2" s="316"/>
    </row>
    <row r="3" spans="2:43" x14ac:dyDescent="0.25">
      <c r="B3" s="139" t="s">
        <v>362</v>
      </c>
      <c r="C3" s="160">
        <f>3.2-0.22-0.3</f>
        <v>2.68</v>
      </c>
    </row>
    <row r="6" spans="2:43" ht="17.25" customHeight="1" x14ac:dyDescent="0.25">
      <c r="B6" s="284" t="s">
        <v>135</v>
      </c>
      <c r="C6" s="285"/>
      <c r="D6" s="285"/>
      <c r="E6" s="286"/>
      <c r="G6" s="284" t="s">
        <v>136</v>
      </c>
      <c r="H6" s="285"/>
      <c r="I6" s="285"/>
      <c r="J6" s="286"/>
      <c r="L6" s="284" t="s">
        <v>137</v>
      </c>
      <c r="M6" s="285"/>
      <c r="N6" s="285"/>
      <c r="O6" s="286"/>
      <c r="Q6" s="284" t="s">
        <v>138</v>
      </c>
      <c r="R6" s="285"/>
      <c r="S6" s="285"/>
      <c r="T6" s="286"/>
      <c r="V6" s="284" t="s">
        <v>139</v>
      </c>
      <c r="W6" s="285"/>
      <c r="X6" s="285"/>
      <c r="Y6" s="286"/>
      <c r="AA6" s="169" t="s">
        <v>116</v>
      </c>
      <c r="AB6" s="169"/>
      <c r="AC6" s="133" t="s">
        <v>98</v>
      </c>
      <c r="AD6" s="133" t="s">
        <v>99</v>
      </c>
      <c r="AE6" s="133" t="s">
        <v>100</v>
      </c>
      <c r="AF6" s="133" t="s">
        <v>101</v>
      </c>
      <c r="AG6" s="133" t="s">
        <v>244</v>
      </c>
      <c r="AH6" s="133" t="s">
        <v>245</v>
      </c>
      <c r="AI6" s="133" t="s">
        <v>102</v>
      </c>
      <c r="AK6" s="182" t="s">
        <v>40</v>
      </c>
      <c r="AL6" s="182"/>
      <c r="AM6" s="182"/>
      <c r="AN6" s="182"/>
      <c r="AO6" s="182"/>
      <c r="AP6" s="182"/>
      <c r="AQ6" s="182"/>
    </row>
    <row r="7" spans="2:43" x14ac:dyDescent="0.25">
      <c r="B7" s="133"/>
      <c r="C7" s="133" t="s">
        <v>140</v>
      </c>
      <c r="D7" s="133" t="s">
        <v>102</v>
      </c>
      <c r="E7" s="133" t="s">
        <v>160</v>
      </c>
      <c r="G7" s="133"/>
      <c r="H7" s="133" t="s">
        <v>140</v>
      </c>
      <c r="I7" s="133" t="s">
        <v>102</v>
      </c>
      <c r="J7" s="133" t="s">
        <v>160</v>
      </c>
      <c r="L7" s="133"/>
      <c r="M7" s="133" t="s">
        <v>140</v>
      </c>
      <c r="N7" s="133" t="s">
        <v>102</v>
      </c>
      <c r="O7" s="133" t="s">
        <v>160</v>
      </c>
      <c r="Q7" s="133"/>
      <c r="R7" s="133" t="s">
        <v>140</v>
      </c>
      <c r="S7" s="133" t="s">
        <v>102</v>
      </c>
      <c r="T7" s="133" t="s">
        <v>160</v>
      </c>
      <c r="V7" s="133"/>
      <c r="W7" s="133" t="s">
        <v>140</v>
      </c>
      <c r="X7" s="133" t="s">
        <v>102</v>
      </c>
      <c r="Y7" s="133" t="s">
        <v>160</v>
      </c>
      <c r="AA7" s="351" t="s">
        <v>117</v>
      </c>
      <c r="AB7" s="351"/>
      <c r="AC7" s="68">
        <f>'Carichi unitari'!J25</f>
        <v>3.8279500000000004</v>
      </c>
      <c r="AD7" s="68">
        <v>1.6</v>
      </c>
      <c r="AE7" s="68">
        <v>2</v>
      </c>
      <c r="AF7" s="68">
        <f>AC7+AD7+AE7*AQ8</f>
        <v>6.0279500000000006</v>
      </c>
      <c r="AG7" s="68">
        <f>(AC7+AD7)*AF20</f>
        <v>7.0563350000000016</v>
      </c>
      <c r="AH7" s="68">
        <f>AE7*AF21</f>
        <v>3</v>
      </c>
      <c r="AI7" s="68">
        <f>$AG$7+$AH$7</f>
        <v>10.056335000000001</v>
      </c>
      <c r="AK7" s="315"/>
      <c r="AL7" s="315"/>
      <c r="AM7" s="315"/>
      <c r="AN7" s="315"/>
      <c r="AO7" s="137" t="s">
        <v>14</v>
      </c>
      <c r="AP7" s="137" t="s">
        <v>16</v>
      </c>
      <c r="AQ7" s="137" t="s">
        <v>15</v>
      </c>
    </row>
    <row r="8" spans="2:43" x14ac:dyDescent="0.25">
      <c r="B8" s="133" t="s">
        <v>142</v>
      </c>
      <c r="C8" s="5">
        <f>(5/2)*(5.3/2)</f>
        <v>6.625</v>
      </c>
      <c r="D8" s="5">
        <f>$AI$8</f>
        <v>4.7773349999999999</v>
      </c>
      <c r="E8" s="5">
        <f>$AF$8</f>
        <v>3.09795</v>
      </c>
      <c r="G8" s="133" t="s">
        <v>142</v>
      </c>
      <c r="H8" s="5">
        <f>1.2*(5/2)*(5.3/2)+(3.9/2)*(4.9/2)</f>
        <v>12.727499999999999</v>
      </c>
      <c r="I8" s="5">
        <f>$AI$8</f>
        <v>4.7773349999999999</v>
      </c>
      <c r="J8" s="5">
        <f>$AF$8</f>
        <v>3.09795</v>
      </c>
      <c r="L8" s="133" t="s">
        <v>142</v>
      </c>
      <c r="M8" s="5">
        <f>(3.9/2)*(4.9/2)+(4.4/2)*(4.9/2)</f>
        <v>10.1675</v>
      </c>
      <c r="N8" s="5">
        <f>$AI$8</f>
        <v>4.7773349999999999</v>
      </c>
      <c r="O8" s="5">
        <f>$AF$8</f>
        <v>3.09795</v>
      </c>
      <c r="Q8" s="133" t="s">
        <v>142</v>
      </c>
      <c r="R8" s="5">
        <f>(4.4/2)*(4.8/2)+(4.8/2)*(4.8/2)</f>
        <v>11.04</v>
      </c>
      <c r="S8" s="5">
        <f>$AI$8</f>
        <v>4.7773349999999999</v>
      </c>
      <c r="T8" s="5">
        <f>$AF$8</f>
        <v>3.09795</v>
      </c>
      <c r="V8" s="133" t="s">
        <v>142</v>
      </c>
      <c r="W8" s="5">
        <f>(4.8/2)*(4.8/2)+1.2*(4.5/2)*(4.8/2)</f>
        <v>12.239999999999998</v>
      </c>
      <c r="X8" s="5">
        <f>$AI$8</f>
        <v>4.7773349999999999</v>
      </c>
      <c r="Y8" s="5">
        <f>$AF$8</f>
        <v>3.09795</v>
      </c>
      <c r="AA8" s="375" t="s">
        <v>106</v>
      </c>
      <c r="AB8" s="376"/>
      <c r="AC8" s="5">
        <f>'Carichi unitari'!J26</f>
        <v>3.09795</v>
      </c>
      <c r="AD8" s="5"/>
      <c r="AE8" s="5">
        <v>0.5</v>
      </c>
      <c r="AF8" s="5">
        <f>AC8+AQ15*AE8</f>
        <v>3.09795</v>
      </c>
      <c r="AG8" s="5">
        <f>AC8*AF20</f>
        <v>4.0273349999999999</v>
      </c>
      <c r="AH8" s="5">
        <f>'[4]Combinazione Gd+Qd'!$K$7*'[4]Combinazione Gk+psikQk'!$G$5</f>
        <v>0.75</v>
      </c>
      <c r="AI8" s="5">
        <f>$AG$8+$AH$8</f>
        <v>4.7773349999999999</v>
      </c>
      <c r="AK8" s="315" t="s">
        <v>18</v>
      </c>
      <c r="AL8" s="315"/>
      <c r="AM8" s="315"/>
      <c r="AN8" s="315"/>
      <c r="AO8" s="52">
        <v>0.7</v>
      </c>
      <c r="AP8" s="52">
        <v>0.5</v>
      </c>
      <c r="AQ8" s="52">
        <v>0.3</v>
      </c>
    </row>
    <row r="9" spans="2:43" x14ac:dyDescent="0.25">
      <c r="B9" s="133" t="s">
        <v>143</v>
      </c>
      <c r="C9" s="5">
        <f>(5.44/2)*1.5</f>
        <v>4.08</v>
      </c>
      <c r="D9" s="5">
        <f>$AI$9</f>
        <v>4.7773349999999999</v>
      </c>
      <c r="E9" s="5">
        <f>$AF$9</f>
        <v>3.3979499999999998</v>
      </c>
      <c r="G9" s="133" t="s">
        <v>143</v>
      </c>
      <c r="H9" s="5">
        <f>(5.44/2)*1.5+(4.16/2)*1.5</f>
        <v>7.2</v>
      </c>
      <c r="I9" s="5">
        <f>$AI$9</f>
        <v>4.7773349999999999</v>
      </c>
      <c r="J9" s="5">
        <f>$AF$9</f>
        <v>3.3979499999999998</v>
      </c>
      <c r="L9" s="133" t="s">
        <v>143</v>
      </c>
      <c r="M9" s="5">
        <f>(4.16/2)*1.5+(4.5/2)*1.5</f>
        <v>6.4950000000000001</v>
      </c>
      <c r="N9" s="5">
        <f>$AI$9</f>
        <v>4.7773349999999999</v>
      </c>
      <c r="O9" s="5">
        <f>$AF$9</f>
        <v>3.3979499999999998</v>
      </c>
      <c r="Q9" s="133" t="s">
        <v>143</v>
      </c>
      <c r="R9" s="5">
        <f>(4.5/2)*1.5+(4.94/2)*1.5</f>
        <v>7.08</v>
      </c>
      <c r="S9" s="5">
        <f>$AI$9</f>
        <v>4.7773349999999999</v>
      </c>
      <c r="T9" s="5">
        <f>$AF$9</f>
        <v>3.3979499999999998</v>
      </c>
      <c r="V9" s="133" t="s">
        <v>143</v>
      </c>
      <c r="W9" s="5">
        <f>(4.94/2)*1.5+(4.46/2)*1.5</f>
        <v>7.05</v>
      </c>
      <c r="X9" s="5">
        <f>$AI$9</f>
        <v>4.7773349999999999</v>
      </c>
      <c r="Y9" s="5">
        <f>$AF$9</f>
        <v>3.3979499999999998</v>
      </c>
      <c r="AA9" s="169" t="s">
        <v>118</v>
      </c>
      <c r="AB9" s="169"/>
      <c r="AC9" s="5">
        <f>AC8</f>
        <v>3.09795</v>
      </c>
      <c r="AD9" s="5"/>
      <c r="AE9" s="5">
        <v>0.5</v>
      </c>
      <c r="AF9" s="5">
        <f>AC9+AQ10*AE9</f>
        <v>3.3979499999999998</v>
      </c>
      <c r="AG9" s="5">
        <f>AC9*AF20</f>
        <v>4.0273349999999999</v>
      </c>
      <c r="AH9" s="5">
        <f>AE9*AF21</f>
        <v>0.75</v>
      </c>
      <c r="AI9" s="5">
        <f>$AG$9+$AH$9</f>
        <v>4.7773349999999999</v>
      </c>
      <c r="AK9" s="315" t="s">
        <v>17</v>
      </c>
      <c r="AL9" s="315"/>
      <c r="AM9" s="315"/>
      <c r="AN9" s="315"/>
      <c r="AO9" s="52">
        <v>0.7</v>
      </c>
      <c r="AP9" s="52">
        <v>0.5</v>
      </c>
      <c r="AQ9" s="52">
        <v>0.3</v>
      </c>
    </row>
    <row r="10" spans="2:43" x14ac:dyDescent="0.25">
      <c r="B10" s="133" t="s">
        <v>144</v>
      </c>
      <c r="C10" s="5">
        <f>5.44</f>
        <v>5.44</v>
      </c>
      <c r="D10" s="5">
        <f>$AI$15</f>
        <v>4.758</v>
      </c>
      <c r="E10" s="5">
        <f>$AF$15</f>
        <v>3.66</v>
      </c>
      <c r="G10" s="133" t="s">
        <v>144</v>
      </c>
      <c r="H10" s="5">
        <f>1.2*(5.5/2)+(4.16/2)</f>
        <v>5.38</v>
      </c>
      <c r="I10" s="5">
        <f>$AI$15</f>
        <v>4.758</v>
      </c>
      <c r="J10" s="5">
        <f>$AF$15</f>
        <v>3.66</v>
      </c>
      <c r="L10" s="133" t="s">
        <v>144</v>
      </c>
      <c r="M10" s="5">
        <f>(4.16/2)+(4.5/2)+(4.85/2)</f>
        <v>6.7549999999999999</v>
      </c>
      <c r="N10" s="5">
        <f>$AI$15</f>
        <v>4.758</v>
      </c>
      <c r="O10" s="5">
        <f>$AF$15</f>
        <v>3.66</v>
      </c>
      <c r="Q10" s="133" t="s">
        <v>144</v>
      </c>
      <c r="R10" s="5">
        <f>(4.5/2)+(4.94/2)+(4.85/2)</f>
        <v>7.1450000000000005</v>
      </c>
      <c r="S10" s="5">
        <f>$AI$15</f>
        <v>4.758</v>
      </c>
      <c r="T10" s="5">
        <f>$AF$15</f>
        <v>3.66</v>
      </c>
      <c r="V10" s="133" t="s">
        <v>144</v>
      </c>
      <c r="W10" s="5">
        <f>(4.94/2)+1.2*(4.46/2)</f>
        <v>5.1459999999999999</v>
      </c>
      <c r="X10" s="5">
        <f>$AI$15</f>
        <v>4.758</v>
      </c>
      <c r="Y10" s="5">
        <f>$AF$15</f>
        <v>3.66</v>
      </c>
      <c r="AA10" s="169" t="s">
        <v>103</v>
      </c>
      <c r="AB10" s="169"/>
      <c r="AC10" s="5">
        <f>'Carichi unitari'!J28</f>
        <v>8.6467122681440394</v>
      </c>
      <c r="AD10" s="5"/>
      <c r="AE10" s="5">
        <v>4</v>
      </c>
      <c r="AF10" s="5">
        <f>AC10+AQ10*AE10</f>
        <v>11.04671226814404</v>
      </c>
      <c r="AG10" s="5">
        <f>AC10*AF20</f>
        <v>11.240725948587251</v>
      </c>
      <c r="AH10" s="5">
        <f>AE10*AF21</f>
        <v>6</v>
      </c>
      <c r="AI10" s="5">
        <f>$AG$10+$AH$10</f>
        <v>17.240725948587251</v>
      </c>
      <c r="AK10" s="315" t="s">
        <v>19</v>
      </c>
      <c r="AL10" s="315"/>
      <c r="AM10" s="315"/>
      <c r="AN10" s="315"/>
      <c r="AO10" s="52">
        <v>0.7</v>
      </c>
      <c r="AP10" s="52">
        <v>0.7</v>
      </c>
      <c r="AQ10" s="52">
        <v>0.6</v>
      </c>
    </row>
    <row r="11" spans="2:43" x14ac:dyDescent="0.25">
      <c r="B11" s="133" t="s">
        <v>145</v>
      </c>
      <c r="C11" s="5">
        <v>0</v>
      </c>
      <c r="D11" s="5">
        <f>$AI$10</f>
        <v>17.240725948587251</v>
      </c>
      <c r="E11" s="5">
        <f>$AF$10</f>
        <v>11.04671226814404</v>
      </c>
      <c r="G11" s="133" t="s">
        <v>144</v>
      </c>
      <c r="H11" s="5">
        <f>(5.05/2)</f>
        <v>2.5249999999999999</v>
      </c>
      <c r="I11" s="5">
        <f>$AI$13</f>
        <v>1.2150000000000003</v>
      </c>
      <c r="J11" s="5">
        <f>$AF$13</f>
        <v>0.81000000000000016</v>
      </c>
      <c r="L11" s="133" t="s">
        <v>145</v>
      </c>
      <c r="M11" s="5">
        <v>0</v>
      </c>
      <c r="N11" s="5">
        <f>$AI$10</f>
        <v>17.240725948587251</v>
      </c>
      <c r="O11" s="5">
        <f>$AF$10</f>
        <v>11.04671226814404</v>
      </c>
      <c r="Q11" s="133" t="s">
        <v>145</v>
      </c>
      <c r="R11" s="5">
        <v>0</v>
      </c>
      <c r="S11" s="5">
        <f>$AI$10</f>
        <v>17.240725948587251</v>
      </c>
      <c r="T11" s="5">
        <f>$AF$10</f>
        <v>11.04671226814404</v>
      </c>
      <c r="V11" s="133" t="s">
        <v>144</v>
      </c>
      <c r="W11" s="5">
        <f>(5.05/2)</f>
        <v>2.5249999999999999</v>
      </c>
      <c r="X11" s="5">
        <f>$AI$13</f>
        <v>1.2150000000000003</v>
      </c>
      <c r="Y11" s="5">
        <f>$AF$13</f>
        <v>0.81000000000000016</v>
      </c>
      <c r="AA11" s="169" t="s">
        <v>104</v>
      </c>
      <c r="AB11" s="169"/>
      <c r="AC11" s="5">
        <f>'Carichi unitari'!J29</f>
        <v>6</v>
      </c>
      <c r="AD11" s="5"/>
      <c r="AE11" s="5"/>
      <c r="AF11" s="5">
        <f>AC11</f>
        <v>6</v>
      </c>
      <c r="AG11" s="5">
        <f>AC11*AF20</f>
        <v>7.8000000000000007</v>
      </c>
      <c r="AH11" s="5"/>
      <c r="AI11" s="5">
        <f>$AG$11</f>
        <v>7.8000000000000007</v>
      </c>
      <c r="AK11" s="315" t="s">
        <v>20</v>
      </c>
      <c r="AL11" s="315"/>
      <c r="AM11" s="315"/>
      <c r="AN11" s="315"/>
      <c r="AO11" s="52">
        <v>0.7</v>
      </c>
      <c r="AP11" s="52">
        <v>0.7</v>
      </c>
      <c r="AQ11" s="52">
        <v>0.6</v>
      </c>
    </row>
    <row r="12" spans="2:43" x14ac:dyDescent="0.25">
      <c r="B12" s="133" t="s">
        <v>146</v>
      </c>
      <c r="C12" s="5">
        <f>(4.9*C3)/2</f>
        <v>6.5660000000000007</v>
      </c>
      <c r="D12" s="5">
        <f>$AI$11</f>
        <v>7.8000000000000007</v>
      </c>
      <c r="E12" s="5">
        <f>$AF$11</f>
        <v>6</v>
      </c>
      <c r="G12" s="133" t="s">
        <v>145</v>
      </c>
      <c r="H12" s="5">
        <v>0</v>
      </c>
      <c r="I12" s="5">
        <f>$AI$10</f>
        <v>17.240725948587251</v>
      </c>
      <c r="J12" s="5">
        <f>$AF$10</f>
        <v>11.04671226814404</v>
      </c>
      <c r="L12" s="133" t="s">
        <v>146</v>
      </c>
      <c r="M12" s="5">
        <f>(3.6/2)*C3+(4.2/2)*C3+(4/2)*C3</f>
        <v>15.812000000000001</v>
      </c>
      <c r="N12" s="5">
        <f>$AI$11</f>
        <v>7.8000000000000007</v>
      </c>
      <c r="O12" s="5">
        <f>$AF$11</f>
        <v>6</v>
      </c>
      <c r="Q12" s="133" t="s">
        <v>146</v>
      </c>
      <c r="R12" s="5">
        <f>((4.2/2)+(4.4/2))*C3</f>
        <v>11.524000000000003</v>
      </c>
      <c r="S12" s="5">
        <f>$AI$11</f>
        <v>7.8000000000000007</v>
      </c>
      <c r="T12" s="5">
        <f>$AF$11</f>
        <v>6</v>
      </c>
      <c r="V12" s="133" t="s">
        <v>145</v>
      </c>
      <c r="W12" s="5">
        <v>0</v>
      </c>
      <c r="X12" s="5">
        <f>$AI$10</f>
        <v>17.240725948587251</v>
      </c>
      <c r="Y12" s="5">
        <f>$AF$10</f>
        <v>11.04671226814404</v>
      </c>
      <c r="AA12" s="169" t="s">
        <v>255</v>
      </c>
      <c r="AB12" s="169"/>
      <c r="AC12" s="5">
        <f>'Carichi unitari'!J30</f>
        <v>3.66</v>
      </c>
      <c r="AD12" s="5"/>
      <c r="AE12" s="5"/>
      <c r="AF12" s="5">
        <f>AC12</f>
        <v>3.66</v>
      </c>
      <c r="AG12" s="5">
        <f>AC12*AF20</f>
        <v>4.758</v>
      </c>
      <c r="AH12" s="5"/>
      <c r="AI12" s="5">
        <f>AG12</f>
        <v>4.758</v>
      </c>
      <c r="AK12" s="315" t="s">
        <v>21</v>
      </c>
      <c r="AL12" s="315"/>
      <c r="AM12" s="315"/>
      <c r="AN12" s="315"/>
      <c r="AO12" s="52">
        <v>1</v>
      </c>
      <c r="AP12" s="52">
        <v>0.9</v>
      </c>
      <c r="AQ12" s="52">
        <v>0.8</v>
      </c>
    </row>
    <row r="13" spans="2:43" x14ac:dyDescent="0.25">
      <c r="B13" s="273"/>
      <c r="C13" s="274"/>
      <c r="D13" s="5">
        <f>C$8*D8+C$9*D9+C$10*D10+C$11*D11+C$12*D12</f>
        <v>128.23969117500002</v>
      </c>
      <c r="E13" s="5">
        <f>C$8*E8+C$9*E9+C$10*E10+C$11*E11+C$12*E12</f>
        <v>93.693954750000003</v>
      </c>
      <c r="G13" s="133" t="s">
        <v>146</v>
      </c>
      <c r="H13" s="5">
        <f>(1.2*(4.9/2)+(3.6/2)*C3)</f>
        <v>7.7640000000000011</v>
      </c>
      <c r="I13" s="5">
        <f>$AI$11</f>
        <v>7.8000000000000007</v>
      </c>
      <c r="J13" s="5">
        <f>$AF$11</f>
        <v>6</v>
      </c>
      <c r="L13" s="273"/>
      <c r="M13" s="274"/>
      <c r="N13" s="5">
        <f>M$8*N8+M$9*N9+M$10*N10+M$11*N11+M$12*N12</f>
        <v>235.07623443750001</v>
      </c>
      <c r="O13" s="5">
        <f>M$8*O8+M$9*O9+M$10*O10+M$11*O11+M$12*O12</f>
        <v>173.163391875</v>
      </c>
      <c r="Q13" s="273"/>
      <c r="R13" s="274"/>
      <c r="S13" s="5">
        <f>R$8*S8+R$9*S9+R$10*S10+R$11*S11+R$12*S12</f>
        <v>210.44842020000004</v>
      </c>
      <c r="T13" s="5">
        <f>R$8*T8+R$9*T9+R$10*T10+R$11*T11+R$12*T12</f>
        <v>153.55355400000002</v>
      </c>
      <c r="V13" s="133" t="s">
        <v>146</v>
      </c>
      <c r="W13" s="5">
        <f>((4.4/2)+1.2*(3.6/2))*C3</f>
        <v>11.684800000000001</v>
      </c>
      <c r="X13" s="5">
        <f>$AI$11</f>
        <v>7.8000000000000007</v>
      </c>
      <c r="Y13" s="5">
        <f>$AF$11</f>
        <v>6</v>
      </c>
      <c r="AA13" s="169" t="s">
        <v>256</v>
      </c>
      <c r="AB13" s="169"/>
      <c r="AC13" s="5">
        <f>'Carichi unitari'!J31</f>
        <v>0.81000000000000016</v>
      </c>
      <c r="AD13" s="5"/>
      <c r="AE13" s="5"/>
      <c r="AF13" s="5">
        <f>AC13</f>
        <v>0.81000000000000016</v>
      </c>
      <c r="AG13" s="5">
        <f>AC13*AF21</f>
        <v>1.2150000000000003</v>
      </c>
      <c r="AH13" s="5"/>
      <c r="AI13" s="5">
        <f>AG13</f>
        <v>1.2150000000000003</v>
      </c>
      <c r="AK13" s="315" t="s">
        <v>250</v>
      </c>
      <c r="AL13" s="315"/>
      <c r="AM13" s="315"/>
      <c r="AN13" s="315"/>
      <c r="AO13" s="53">
        <v>0.7</v>
      </c>
      <c r="AP13" s="53">
        <v>0.7</v>
      </c>
      <c r="AQ13" s="53">
        <v>0.6</v>
      </c>
    </row>
    <row r="14" spans="2:43" x14ac:dyDescent="0.25">
      <c r="B14" s="179" t="s">
        <v>147</v>
      </c>
      <c r="C14" s="181"/>
      <c r="D14" s="5">
        <f>$AG$14</f>
        <v>18.291</v>
      </c>
      <c r="E14" s="5">
        <f>$AF$14</f>
        <v>14.069999999999999</v>
      </c>
      <c r="G14" s="135"/>
      <c r="H14" s="136"/>
      <c r="I14" s="5">
        <f>H$8*I8+H$9*I9+H$10*I10+H$12*I12+H$13*I13</f>
        <v>181.3575832125</v>
      </c>
      <c r="J14" s="5">
        <f>H$8*J8+H$9*J9+H$10*J10+H$12*J12+H$13*J13</f>
        <v>130.16919862499998</v>
      </c>
      <c r="L14" s="179" t="s">
        <v>147</v>
      </c>
      <c r="M14" s="181"/>
      <c r="N14" s="5">
        <f>$AG$14</f>
        <v>18.291</v>
      </c>
      <c r="O14" s="5">
        <f>$AF$14</f>
        <v>14.069999999999999</v>
      </c>
      <c r="Q14" s="179" t="s">
        <v>147</v>
      </c>
      <c r="R14" s="181"/>
      <c r="S14" s="5">
        <f>$AG$14</f>
        <v>18.291</v>
      </c>
      <c r="T14" s="5">
        <f>$AF$14</f>
        <v>14.069999999999999</v>
      </c>
      <c r="V14" s="273"/>
      <c r="W14" s="274"/>
      <c r="X14" s="5">
        <f>W$8*X8+W$9*X9+W$10*X10+W$12*X12+W$13*X13</f>
        <v>207.78090015000001</v>
      </c>
      <c r="Y14" s="5">
        <f>W$8*Y8+W$9*Y9+W$10*Y10+W$12*Y12+W$13*Y13</f>
        <v>150.81761549999999</v>
      </c>
      <c r="AA14" s="169" t="s">
        <v>257</v>
      </c>
      <c r="AB14" s="169"/>
      <c r="AC14" s="5">
        <f>'Carichi unitari'!J32</f>
        <v>14.069999999999999</v>
      </c>
      <c r="AD14" s="5"/>
      <c r="AE14" s="5"/>
      <c r="AF14" s="5">
        <f>AC14</f>
        <v>14.069999999999999</v>
      </c>
      <c r="AG14" s="5">
        <f>AC14*AF20</f>
        <v>18.291</v>
      </c>
      <c r="AH14" s="5"/>
      <c r="AI14" s="5">
        <f>$AG$14</f>
        <v>18.291</v>
      </c>
      <c r="AK14" s="315" t="s">
        <v>22</v>
      </c>
      <c r="AL14" s="315"/>
      <c r="AM14" s="315"/>
      <c r="AN14" s="315"/>
      <c r="AO14" s="53">
        <v>0.7</v>
      </c>
      <c r="AP14" s="53">
        <v>0.5</v>
      </c>
      <c r="AQ14" s="53">
        <v>0.3</v>
      </c>
    </row>
    <row r="15" spans="2:43" x14ac:dyDescent="0.25">
      <c r="B15" s="179" t="s">
        <v>109</v>
      </c>
      <c r="C15" s="181"/>
      <c r="D15" s="5">
        <f>SUM(D13:D14)</f>
        <v>146.53069117500002</v>
      </c>
      <c r="E15" s="5">
        <f>SUM(E13:E14)</f>
        <v>107.76395475</v>
      </c>
      <c r="G15" s="179" t="s">
        <v>147</v>
      </c>
      <c r="H15" s="181"/>
      <c r="I15" s="5">
        <f>$AG$14</f>
        <v>18.291</v>
      </c>
      <c r="J15" s="5">
        <f>$AF$14</f>
        <v>14.069999999999999</v>
      </c>
      <c r="L15" s="179" t="s">
        <v>109</v>
      </c>
      <c r="M15" s="181"/>
      <c r="N15" s="5">
        <f>SUM(N13:N14)</f>
        <v>253.3672344375</v>
      </c>
      <c r="O15" s="5">
        <f>SUM(O13:O14)</f>
        <v>187.233391875</v>
      </c>
      <c r="Q15" s="179" t="s">
        <v>109</v>
      </c>
      <c r="R15" s="181"/>
      <c r="S15" s="5">
        <f>SUM(S13:S14)</f>
        <v>228.73942020000004</v>
      </c>
      <c r="T15" s="5">
        <f>SUM(T13:T14)</f>
        <v>167.62355400000001</v>
      </c>
      <c r="V15" s="179" t="s">
        <v>147</v>
      </c>
      <c r="W15" s="181"/>
      <c r="X15" s="5">
        <f>$AG$14</f>
        <v>18.291</v>
      </c>
      <c r="Y15" s="5">
        <f>$AF$14</f>
        <v>14.069999999999999</v>
      </c>
      <c r="AA15" s="169" t="s">
        <v>119</v>
      </c>
      <c r="AB15" s="169"/>
      <c r="AC15" s="5">
        <f>'Carichi unitari'!J33</f>
        <v>3.66</v>
      </c>
      <c r="AD15" s="5"/>
      <c r="AE15" s="5"/>
      <c r="AF15" s="5">
        <f>AF12</f>
        <v>3.66</v>
      </c>
      <c r="AG15" s="5"/>
      <c r="AH15" s="5"/>
      <c r="AI15" s="5">
        <f>AI12</f>
        <v>4.758</v>
      </c>
      <c r="AK15" s="315" t="s">
        <v>23</v>
      </c>
      <c r="AL15" s="315"/>
      <c r="AM15" s="315"/>
      <c r="AN15" s="315"/>
      <c r="AO15" s="52">
        <v>0</v>
      </c>
      <c r="AP15" s="52">
        <v>0</v>
      </c>
      <c r="AQ15" s="52">
        <v>0</v>
      </c>
    </row>
    <row r="16" spans="2:43" x14ac:dyDescent="0.25">
      <c r="G16" s="179" t="s">
        <v>109</v>
      </c>
      <c r="H16" s="181"/>
      <c r="I16" s="5">
        <f>SUM(I14:I15)</f>
        <v>199.6485832125</v>
      </c>
      <c r="J16" s="5">
        <f>SUM(J14:J15)</f>
        <v>144.23919862499997</v>
      </c>
      <c r="V16" s="179" t="s">
        <v>109</v>
      </c>
      <c r="W16" s="181"/>
      <c r="X16" s="5">
        <f>SUM(X14:X15)</f>
        <v>226.07190015</v>
      </c>
      <c r="Y16" s="5">
        <f>SUM(Y14:Y15)</f>
        <v>164.88761549999998</v>
      </c>
      <c r="AK16" s="315" t="s">
        <v>24</v>
      </c>
      <c r="AL16" s="315"/>
      <c r="AM16" s="315"/>
      <c r="AN16" s="315"/>
      <c r="AO16" s="53">
        <v>0.6</v>
      </c>
      <c r="AP16" s="53">
        <v>0.2</v>
      </c>
      <c r="AQ16" s="52">
        <v>0</v>
      </c>
    </row>
    <row r="17" spans="2:43" x14ac:dyDescent="0.25">
      <c r="AK17" s="315" t="s">
        <v>251</v>
      </c>
      <c r="AL17" s="315"/>
      <c r="AM17" s="315"/>
      <c r="AN17" s="315"/>
      <c r="AO17" s="53">
        <v>0.5</v>
      </c>
      <c r="AP17" s="53">
        <v>0.2</v>
      </c>
      <c r="AQ17" s="52">
        <v>0</v>
      </c>
    </row>
    <row r="18" spans="2:43" ht="18.75" x14ac:dyDescent="0.25">
      <c r="B18" s="348" t="s">
        <v>148</v>
      </c>
      <c r="C18" s="348"/>
      <c r="D18" s="348"/>
      <c r="E18" s="348"/>
      <c r="G18" s="348" t="s">
        <v>115</v>
      </c>
      <c r="H18" s="348"/>
      <c r="I18" s="348"/>
      <c r="J18" s="348"/>
      <c r="L18" s="348" t="s">
        <v>149</v>
      </c>
      <c r="M18" s="348"/>
      <c r="N18" s="348"/>
      <c r="O18" s="348"/>
      <c r="Q18" s="348" t="s">
        <v>150</v>
      </c>
      <c r="R18" s="348"/>
      <c r="S18" s="348"/>
      <c r="T18" s="348"/>
      <c r="V18" s="348" t="s">
        <v>151</v>
      </c>
      <c r="W18" s="348"/>
      <c r="X18" s="348"/>
      <c r="Y18" s="348"/>
      <c r="AK18" s="315" t="s">
        <v>252</v>
      </c>
      <c r="AL18" s="315"/>
      <c r="AM18" s="315"/>
      <c r="AN18" s="315"/>
      <c r="AO18" s="53">
        <v>0.7</v>
      </c>
      <c r="AP18" s="53">
        <v>0.5</v>
      </c>
      <c r="AQ18" s="52">
        <v>0</v>
      </c>
    </row>
    <row r="19" spans="2:43" ht="15" customHeight="1" x14ac:dyDescent="0.25">
      <c r="B19" s="133"/>
      <c r="C19" s="133" t="s">
        <v>140</v>
      </c>
      <c r="D19" s="133" t="s">
        <v>102</v>
      </c>
      <c r="E19" s="133" t="s">
        <v>160</v>
      </c>
      <c r="G19" s="133"/>
      <c r="H19" s="133" t="s">
        <v>140</v>
      </c>
      <c r="I19" s="133" t="s">
        <v>102</v>
      </c>
      <c r="J19" s="133" t="s">
        <v>160</v>
      </c>
      <c r="L19" s="133"/>
      <c r="M19" s="133" t="s">
        <v>140</v>
      </c>
      <c r="N19" s="133" t="s">
        <v>102</v>
      </c>
      <c r="O19" s="133" t="s">
        <v>160</v>
      </c>
      <c r="Q19" s="133"/>
      <c r="R19" s="133" t="s">
        <v>140</v>
      </c>
      <c r="S19" s="133" t="s">
        <v>102</v>
      </c>
      <c r="T19" s="133" t="s">
        <v>160</v>
      </c>
      <c r="V19" s="133"/>
      <c r="W19" s="133" t="s">
        <v>140</v>
      </c>
      <c r="X19" s="133" t="s">
        <v>102</v>
      </c>
      <c r="Y19" s="133" t="s">
        <v>160</v>
      </c>
      <c r="AC19" s="179" t="s">
        <v>26</v>
      </c>
      <c r="AD19" s="180"/>
      <c r="AE19" s="180"/>
      <c r="AF19" s="181"/>
      <c r="AK19" s="315" t="s">
        <v>25</v>
      </c>
      <c r="AL19" s="315"/>
      <c r="AM19" s="315"/>
      <c r="AN19" s="315"/>
      <c r="AO19" s="53">
        <v>0.6</v>
      </c>
      <c r="AP19" s="53">
        <v>0.5</v>
      </c>
      <c r="AQ19" s="52">
        <v>0</v>
      </c>
    </row>
    <row r="20" spans="2:43" ht="15" customHeight="1" x14ac:dyDescent="0.25">
      <c r="B20" s="133" t="s">
        <v>142</v>
      </c>
      <c r="C20" s="5">
        <f>(4.5/2)*(4.8/2)</f>
        <v>5.3999999999999995</v>
      </c>
      <c r="D20" s="5">
        <f>$AI$8</f>
        <v>4.7773349999999999</v>
      </c>
      <c r="E20" s="5">
        <f>$AF$8</f>
        <v>3.09795</v>
      </c>
      <c r="G20" s="133" t="s">
        <v>142</v>
      </c>
      <c r="H20" s="5">
        <f>(5/2)*(5.3/2)+(5/2)*(4.8/2)</f>
        <v>12.625</v>
      </c>
      <c r="I20" s="5">
        <f>$AI$8</f>
        <v>4.7773349999999999</v>
      </c>
      <c r="J20" s="5">
        <f>$AF$8</f>
        <v>3.09795</v>
      </c>
      <c r="L20" s="133" t="s">
        <v>142</v>
      </c>
      <c r="M20" s="5">
        <f>1.2*(5/2)*(5.3/2)+1.2*(5/2)*(4.8/2)+1.2*(3.9/2)*(4.9/2)+1.2*(3.9/2)*(5/2)</f>
        <v>26.732999999999997</v>
      </c>
      <c r="N20" s="5">
        <f>$AI$8</f>
        <v>4.7773349999999999</v>
      </c>
      <c r="O20" s="5">
        <f>$AF$8</f>
        <v>3.09795</v>
      </c>
      <c r="Q20" s="133" t="s">
        <v>142</v>
      </c>
      <c r="R20" s="5">
        <f>1.2*(3.9/2)*(4.9/2)+1.2*(4.4/2)*(4.9/2)+1.2*(3.9/2)*(5/2)</f>
        <v>18.051000000000002</v>
      </c>
      <c r="S20" s="5">
        <f>$AI$8</f>
        <v>4.7773349999999999</v>
      </c>
      <c r="T20" s="5">
        <f>$AF$8</f>
        <v>3.09795</v>
      </c>
      <c r="V20" s="133" t="s">
        <v>142</v>
      </c>
      <c r="W20" s="5">
        <f>1.2*(4.4/2)*(4.9/2)+1.2*(4.8/2)*(4.8/2)+1.2*(4.8/2)*(5/2)</f>
        <v>20.58</v>
      </c>
      <c r="X20" s="5">
        <f>$AI$8</f>
        <v>4.7773349999999999</v>
      </c>
      <c r="Y20" s="5">
        <f>$AF$8</f>
        <v>3.09795</v>
      </c>
      <c r="AC20" s="169" t="s">
        <v>27</v>
      </c>
      <c r="AD20" s="169"/>
      <c r="AE20" s="169"/>
      <c r="AF20" s="160">
        <v>1.3</v>
      </c>
    </row>
    <row r="21" spans="2:43" ht="15" customHeight="1" x14ac:dyDescent="0.25">
      <c r="B21" s="133" t="s">
        <v>143</v>
      </c>
      <c r="C21" s="5">
        <f>(4.46/2)*1.5</f>
        <v>3.3449999999999998</v>
      </c>
      <c r="D21" s="5">
        <f>$AI$9</f>
        <v>4.7773349999999999</v>
      </c>
      <c r="E21" s="5">
        <f>$AF$9</f>
        <v>3.3979499999999998</v>
      </c>
      <c r="G21" s="133" t="s">
        <v>143</v>
      </c>
      <c r="H21" s="5">
        <v>0</v>
      </c>
      <c r="I21" s="5">
        <f>$AI$9</f>
        <v>4.7773349999999999</v>
      </c>
      <c r="J21" s="5">
        <f>$AF$9</f>
        <v>3.3979499999999998</v>
      </c>
      <c r="L21" s="133" t="s">
        <v>143</v>
      </c>
      <c r="M21" s="5">
        <v>0</v>
      </c>
      <c r="N21" s="5">
        <f>$AI$9</f>
        <v>4.7773349999999999</v>
      </c>
      <c r="O21" s="5">
        <f>$AF$9</f>
        <v>3.3979499999999998</v>
      </c>
      <c r="Q21" s="133" t="s">
        <v>143</v>
      </c>
      <c r="R21" s="5">
        <v>0</v>
      </c>
      <c r="S21" s="5">
        <f>$AI$9</f>
        <v>4.7773349999999999</v>
      </c>
      <c r="T21" s="5">
        <f>$AF$9</f>
        <v>3.3979499999999998</v>
      </c>
      <c r="V21" s="133" t="s">
        <v>143</v>
      </c>
      <c r="W21" s="5">
        <v>0</v>
      </c>
      <c r="X21" s="5">
        <f>$AI$9</f>
        <v>4.7773349999999999</v>
      </c>
      <c r="Y21" s="5">
        <f>$AF$9</f>
        <v>3.3979499999999998</v>
      </c>
      <c r="AC21" s="169" t="s">
        <v>28</v>
      </c>
      <c r="AD21" s="169"/>
      <c r="AE21" s="169"/>
      <c r="AF21" s="160">
        <v>1.5</v>
      </c>
    </row>
    <row r="22" spans="2:43" ht="15" customHeight="1" x14ac:dyDescent="0.25">
      <c r="B22" s="133" t="s">
        <v>144</v>
      </c>
      <c r="C22" s="5">
        <f>(4.46/2)</f>
        <v>2.23</v>
      </c>
      <c r="D22" s="5">
        <f>$AI$15</f>
        <v>4.758</v>
      </c>
      <c r="E22" s="5">
        <f>$AF$15</f>
        <v>3.66</v>
      </c>
      <c r="G22" s="133" t="s">
        <v>144</v>
      </c>
      <c r="H22" s="5">
        <f>(4.85/2)+(5.44/2)+(5.15/2)</f>
        <v>7.72</v>
      </c>
      <c r="I22" s="5">
        <f>$AI$15</f>
        <v>4.758</v>
      </c>
      <c r="J22" s="5">
        <f>$AF$15</f>
        <v>3.66</v>
      </c>
      <c r="L22" s="133" t="s">
        <v>144</v>
      </c>
      <c r="M22" s="5">
        <f>1.2*(5.44/2)+(4.16/2)</f>
        <v>5.3440000000000003</v>
      </c>
      <c r="N22" s="5">
        <f>$AI$15</f>
        <v>4.758</v>
      </c>
      <c r="O22" s="5">
        <f>$AF$15</f>
        <v>3.66</v>
      </c>
      <c r="Q22" s="133" t="s">
        <v>144</v>
      </c>
      <c r="R22" s="5">
        <f>(4.16/2)+1.2*(4.85/2)+(4.5/2)+1.2*(5.44/2)</f>
        <v>10.504000000000001</v>
      </c>
      <c r="S22" s="5">
        <f>$AI$15</f>
        <v>4.758</v>
      </c>
      <c r="T22" s="5">
        <f>$AF$15</f>
        <v>3.66</v>
      </c>
      <c r="V22" s="133" t="s">
        <v>144</v>
      </c>
      <c r="W22" s="5">
        <f>1.2*(4.85/2)+1.2*(5.44/2)+(4.5/2)+(4.94/2)</f>
        <v>10.894</v>
      </c>
      <c r="X22" s="5">
        <f>$AI$15</f>
        <v>4.758</v>
      </c>
      <c r="Y22" s="5">
        <f>$AF$15</f>
        <v>3.66</v>
      </c>
      <c r="AC22" s="169" t="s">
        <v>29</v>
      </c>
      <c r="AD22" s="169"/>
      <c r="AE22" s="169"/>
      <c r="AF22" s="160">
        <v>1</v>
      </c>
    </row>
    <row r="23" spans="2:43" x14ac:dyDescent="0.25">
      <c r="B23" s="133" t="s">
        <v>145</v>
      </c>
      <c r="C23" s="5">
        <v>0</v>
      </c>
      <c r="D23" s="5">
        <f>$AI$10</f>
        <v>17.240725948587251</v>
      </c>
      <c r="E23" s="5">
        <f>$AF$10</f>
        <v>11.04671226814404</v>
      </c>
      <c r="G23" s="133" t="s">
        <v>145</v>
      </c>
      <c r="H23" s="5">
        <v>0</v>
      </c>
      <c r="I23" s="5">
        <f>$AI$10</f>
        <v>17.240725948587251</v>
      </c>
      <c r="J23" s="5">
        <f>$AF$10</f>
        <v>11.04671226814404</v>
      </c>
      <c r="L23" s="133" t="s">
        <v>144</v>
      </c>
      <c r="M23" s="5">
        <f>1.2*(5.05/2)+1.2*(5.15/2)</f>
        <v>6.12</v>
      </c>
      <c r="N23" s="5">
        <f>$AI$13</f>
        <v>1.2150000000000003</v>
      </c>
      <c r="O23" s="5">
        <f>$AF$13</f>
        <v>0.81000000000000016</v>
      </c>
      <c r="Q23" s="133" t="s">
        <v>145</v>
      </c>
      <c r="R23" s="5">
        <v>0</v>
      </c>
      <c r="S23" s="5">
        <f>$AI$10</f>
        <v>17.240725948587251</v>
      </c>
      <c r="T23" s="5">
        <f>$AF$10</f>
        <v>11.04671226814404</v>
      </c>
      <c r="V23" s="133" t="s">
        <v>145</v>
      </c>
      <c r="W23" s="5">
        <v>0</v>
      </c>
      <c r="X23" s="5">
        <f>$AI$10</f>
        <v>17.240725948587251</v>
      </c>
      <c r="Y23" s="5">
        <f>$AF$10</f>
        <v>11.04671226814404</v>
      </c>
    </row>
    <row r="24" spans="2:43" x14ac:dyDescent="0.25">
      <c r="B24" s="133" t="s">
        <v>146</v>
      </c>
      <c r="C24" s="5">
        <f>(3.6/2)*C3</f>
        <v>4.8240000000000007</v>
      </c>
      <c r="D24" s="5">
        <f>$AI$11</f>
        <v>7.8000000000000007</v>
      </c>
      <c r="E24" s="5">
        <f>$AF$11</f>
        <v>6</v>
      </c>
      <c r="G24" s="133" t="s">
        <v>146</v>
      </c>
      <c r="H24" s="5">
        <f>((4/2)+(4.6/2))*C3</f>
        <v>11.524000000000001</v>
      </c>
      <c r="I24" s="5">
        <f>$AI$11</f>
        <v>7.8000000000000007</v>
      </c>
      <c r="J24" s="5">
        <f>$AF$11</f>
        <v>6</v>
      </c>
      <c r="L24" s="133" t="s">
        <v>145</v>
      </c>
      <c r="M24" s="5">
        <v>0</v>
      </c>
      <c r="N24" s="5">
        <f>$AI$10</f>
        <v>17.240725948587251</v>
      </c>
      <c r="O24" s="5">
        <f>$AF$10</f>
        <v>11.04671226814404</v>
      </c>
      <c r="Q24" s="133" t="s">
        <v>146</v>
      </c>
      <c r="R24" s="5">
        <f>(1.2*(4/2)+1.2*(4.6/2))*C3</f>
        <v>13.828800000000001</v>
      </c>
      <c r="S24" s="5">
        <f>$AI$11</f>
        <v>7.8000000000000007</v>
      </c>
      <c r="T24" s="5">
        <f>$AF$11</f>
        <v>6</v>
      </c>
      <c r="V24" s="133" t="s">
        <v>146</v>
      </c>
      <c r="W24" s="5">
        <f>(1.2*(4.6/2))*C3</f>
        <v>7.3967999999999998</v>
      </c>
      <c r="X24" s="5">
        <f>$AI$11</f>
        <v>7.8000000000000007</v>
      </c>
      <c r="Y24" s="5">
        <f>$AF$11</f>
        <v>6</v>
      </c>
    </row>
    <row r="25" spans="2:43" x14ac:dyDescent="0.25">
      <c r="B25" s="349"/>
      <c r="C25" s="349"/>
      <c r="D25" s="5">
        <f>C$20*D20+C$21*D21+C$22*D22+C$23*D23+C$24*D24</f>
        <v>90.015334574999997</v>
      </c>
      <c r="E25" s="5">
        <f>C$20*E20+C$21*E21+C$22*E22+C$23*E23+C$24*E24</f>
        <v>65.200872750000002</v>
      </c>
      <c r="G25" s="349"/>
      <c r="H25" s="349"/>
      <c r="I25" s="5">
        <f>H$20*I20+H$21*I21+H$23*I22+H$22*I23+H$24*I24</f>
        <v>283.29945869809359</v>
      </c>
      <c r="J25" s="5">
        <f>H$20*J20+H$21*J21+H$23*J22+H$22*J23+H$24*J24</f>
        <v>193.53623746007199</v>
      </c>
      <c r="L25" s="133" t="s">
        <v>146</v>
      </c>
      <c r="M25" s="5">
        <v>0</v>
      </c>
      <c r="N25" s="5">
        <f>$AI$11</f>
        <v>7.8000000000000007</v>
      </c>
      <c r="O25" s="5">
        <f>$AF$11</f>
        <v>6</v>
      </c>
      <c r="Q25" s="349"/>
      <c r="R25" s="349"/>
      <c r="S25" s="5">
        <f>R$20*S20+R$21*S21+R$22*S22+R$23*S23+R$24*S24</f>
        <v>244.07834608500002</v>
      </c>
      <c r="T25" s="5">
        <f>R$20*T20+R$21*T21+R$22*T22+R$23*T23+R$24*T24</f>
        <v>177.33853545000002</v>
      </c>
      <c r="V25" s="349"/>
      <c r="W25" s="349"/>
      <c r="X25" s="5">
        <f>W$20*X20+W$21*X21+W$22*X22+W$23*X23+W$24*X24</f>
        <v>207.84624629999999</v>
      </c>
      <c r="Y25" s="5">
        <f>W$20*Y20+W$21*Y21+W$22*Y22+W$23*Y23+W$24*Y24</f>
        <v>148.00865099999999</v>
      </c>
    </row>
    <row r="26" spans="2:43" x14ac:dyDescent="0.25">
      <c r="B26" s="169" t="s">
        <v>147</v>
      </c>
      <c r="C26" s="169"/>
      <c r="D26" s="5">
        <f>$AG$14</f>
        <v>18.291</v>
      </c>
      <c r="E26" s="5">
        <f>$AF$14</f>
        <v>14.069999999999999</v>
      </c>
      <c r="G26" s="169" t="s">
        <v>147</v>
      </c>
      <c r="H26" s="169"/>
      <c r="I26" s="5">
        <f>$AG$14</f>
        <v>18.291</v>
      </c>
      <c r="J26" s="5">
        <f>$AF$14</f>
        <v>14.069999999999999</v>
      </c>
      <c r="L26" s="349"/>
      <c r="M26" s="349"/>
      <c r="N26" s="5">
        <f>M$20*N20+M$21*N21+M$22*N22+M$24*N24+M$25*N25</f>
        <v>153.13924855499999</v>
      </c>
      <c r="O26" s="5">
        <f>M$20*O20+M$21*O21+M$22*O22+M$24*O24+M$25*O25</f>
        <v>102.37653735000001</v>
      </c>
      <c r="Q26" s="169" t="s">
        <v>147</v>
      </c>
      <c r="R26" s="169"/>
      <c r="S26" s="5">
        <f>$AG$14</f>
        <v>18.291</v>
      </c>
      <c r="T26" s="5">
        <f>$AF$14</f>
        <v>14.069999999999999</v>
      </c>
      <c r="V26" s="169" t="s">
        <v>147</v>
      </c>
      <c r="W26" s="169"/>
      <c r="X26" s="5">
        <f>$AG$14</f>
        <v>18.291</v>
      </c>
      <c r="Y26" s="5">
        <f>$AF$14</f>
        <v>14.069999999999999</v>
      </c>
    </row>
    <row r="27" spans="2:43" x14ac:dyDescent="0.25">
      <c r="B27" s="169" t="s">
        <v>109</v>
      </c>
      <c r="C27" s="169"/>
      <c r="D27" s="5">
        <f>SUM(D25:D26)</f>
        <v>108.30633457499999</v>
      </c>
      <c r="E27" s="5">
        <f>SUM(E25:E26)</f>
        <v>79.270872749999995</v>
      </c>
      <c r="G27" s="169" t="s">
        <v>109</v>
      </c>
      <c r="H27" s="169"/>
      <c r="I27" s="5">
        <f>SUM(I25:I26)</f>
        <v>301.59045869809358</v>
      </c>
      <c r="J27" s="5">
        <f>SUM(J25:J26)</f>
        <v>207.60623746007198</v>
      </c>
      <c r="L27" s="169" t="s">
        <v>147</v>
      </c>
      <c r="M27" s="169"/>
      <c r="N27" s="5">
        <f>$AG$14</f>
        <v>18.291</v>
      </c>
      <c r="O27" s="5">
        <f>$AF$14</f>
        <v>14.069999999999999</v>
      </c>
      <c r="Q27" s="169" t="s">
        <v>109</v>
      </c>
      <c r="R27" s="169"/>
      <c r="S27" s="5">
        <f>SUM(S25:S26)</f>
        <v>262.36934608500002</v>
      </c>
      <c r="T27" s="5">
        <f>SUM(T25:T26)</f>
        <v>191.40853545000002</v>
      </c>
      <c r="V27" s="169" t="s">
        <v>109</v>
      </c>
      <c r="W27" s="169"/>
      <c r="X27" s="5">
        <f>SUM(X25:X26)</f>
        <v>226.13724629999999</v>
      </c>
      <c r="Y27" s="5">
        <f>SUM(Y25:Y26)</f>
        <v>162.07865099999998</v>
      </c>
    </row>
    <row r="28" spans="2:43" x14ac:dyDescent="0.25">
      <c r="L28" s="169" t="s">
        <v>109</v>
      </c>
      <c r="M28" s="169"/>
      <c r="N28" s="5">
        <f>SUM(N26:N27)</f>
        <v>171.43024855499999</v>
      </c>
      <c r="O28" s="5">
        <f>SUM(O26:O27)</f>
        <v>116.44653735</v>
      </c>
    </row>
    <row r="30" spans="2:43" ht="18.75" x14ac:dyDescent="0.25">
      <c r="B30" s="348" t="s">
        <v>152</v>
      </c>
      <c r="C30" s="348"/>
      <c r="D30" s="348"/>
      <c r="E30" s="348"/>
      <c r="G30" s="348" t="s">
        <v>153</v>
      </c>
      <c r="H30" s="348"/>
      <c r="I30" s="348"/>
      <c r="J30" s="348"/>
      <c r="L30" s="348" t="s">
        <v>154</v>
      </c>
      <c r="M30" s="348"/>
      <c r="N30" s="348"/>
      <c r="O30" s="348"/>
      <c r="Q30" s="348" t="s">
        <v>155</v>
      </c>
      <c r="R30" s="348"/>
      <c r="S30" s="348"/>
      <c r="T30" s="348"/>
      <c r="V30" s="348" t="s">
        <v>156</v>
      </c>
      <c r="W30" s="348"/>
      <c r="X30" s="348"/>
      <c r="Y30" s="348"/>
    </row>
    <row r="31" spans="2:43" x14ac:dyDescent="0.25">
      <c r="B31" s="133"/>
      <c r="C31" s="133" t="s">
        <v>140</v>
      </c>
      <c r="D31" s="133" t="s">
        <v>102</v>
      </c>
      <c r="E31" s="133" t="s">
        <v>160</v>
      </c>
      <c r="G31" s="133"/>
      <c r="H31" s="133" t="s">
        <v>140</v>
      </c>
      <c r="I31" s="133" t="s">
        <v>102</v>
      </c>
      <c r="J31" s="133" t="s">
        <v>160</v>
      </c>
      <c r="L31" s="133"/>
      <c r="M31" s="133" t="s">
        <v>140</v>
      </c>
      <c r="N31" s="133" t="s">
        <v>102</v>
      </c>
      <c r="O31" s="133" t="s">
        <v>160</v>
      </c>
      <c r="Q31" s="133"/>
      <c r="R31" s="133" t="s">
        <v>140</v>
      </c>
      <c r="S31" s="133" t="s">
        <v>102</v>
      </c>
      <c r="T31" s="133" t="s">
        <v>160</v>
      </c>
      <c r="V31" s="133"/>
      <c r="W31" s="133" t="s">
        <v>140</v>
      </c>
      <c r="X31" s="133" t="s">
        <v>102</v>
      </c>
      <c r="Y31" s="133" t="s">
        <v>160</v>
      </c>
    </row>
    <row r="32" spans="2:43" x14ac:dyDescent="0.25">
      <c r="B32" s="133" t="s">
        <v>142</v>
      </c>
      <c r="C32" s="5">
        <f>1.2*(4.8/2)*(4.8/2)+1.2*(4.8/2)*(5/2)+1.2*(4.5/2)*(4.8/2)+1.2*(4.5/2)*(5/2)</f>
        <v>27.341999999999999</v>
      </c>
      <c r="D32" s="5">
        <f>$AI$8</f>
        <v>4.7773349999999999</v>
      </c>
      <c r="E32" s="5">
        <f>$AF$8</f>
        <v>3.09795</v>
      </c>
      <c r="G32" s="133" t="s">
        <v>142</v>
      </c>
      <c r="H32" s="5">
        <f>1.2*(4.5/2)*(4.8/2)+1.2*(4.5/2)*(5/2)</f>
        <v>13.229999999999999</v>
      </c>
      <c r="I32" s="5">
        <f>$AI$8</f>
        <v>4.7773349999999999</v>
      </c>
      <c r="J32" s="5">
        <f>$AF$8</f>
        <v>3.09795</v>
      </c>
      <c r="L32" s="133" t="s">
        <v>142</v>
      </c>
      <c r="M32" s="5">
        <f>(5.3/2)*(5/2)</f>
        <v>6.625</v>
      </c>
      <c r="N32" s="5">
        <f>$AI$8</f>
        <v>4.7773349999999999</v>
      </c>
      <c r="O32" s="5">
        <f>$AF$8</f>
        <v>3.09795</v>
      </c>
      <c r="Q32" s="133" t="s">
        <v>142</v>
      </c>
      <c r="R32" s="5">
        <f>(5.3/2)*(5/2)+(3.9/2)*(5/2)</f>
        <v>11.5</v>
      </c>
      <c r="S32" s="5">
        <f>$AI$8</f>
        <v>4.7773349999999999</v>
      </c>
      <c r="T32" s="5">
        <f>$AF$8</f>
        <v>3.09795</v>
      </c>
      <c r="V32" s="133" t="s">
        <v>142</v>
      </c>
      <c r="W32" s="5">
        <f>(3.9/2)*(5/2)</f>
        <v>4.875</v>
      </c>
      <c r="X32" s="5">
        <f>$AI$8</f>
        <v>4.7773349999999999</v>
      </c>
      <c r="Y32" s="5">
        <f>$AF$8</f>
        <v>3.09795</v>
      </c>
    </row>
    <row r="33" spans="2:25" x14ac:dyDescent="0.25">
      <c r="B33" s="133" t="s">
        <v>143</v>
      </c>
      <c r="C33" s="5">
        <v>0</v>
      </c>
      <c r="D33" s="5">
        <f>$AI$9</f>
        <v>4.7773349999999999</v>
      </c>
      <c r="E33" s="5">
        <f>$AF$9</f>
        <v>3.3979499999999998</v>
      </c>
      <c r="G33" s="133" t="s">
        <v>143</v>
      </c>
      <c r="H33" s="5">
        <v>0</v>
      </c>
      <c r="I33" s="5">
        <f>$AI$9</f>
        <v>4.7773349999999999</v>
      </c>
      <c r="J33" s="5">
        <f>$AF$9</f>
        <v>3.3979499999999998</v>
      </c>
      <c r="L33" s="133" t="s">
        <v>143</v>
      </c>
      <c r="M33" s="5">
        <f>(5.25/2)*1.5</f>
        <v>3.9375</v>
      </c>
      <c r="N33" s="5">
        <f>$AI$9</f>
        <v>4.7773349999999999</v>
      </c>
      <c r="O33" s="5">
        <f>$AF$9</f>
        <v>3.3979499999999998</v>
      </c>
      <c r="Q33" s="133" t="s">
        <v>143</v>
      </c>
      <c r="R33" s="5">
        <f>(5.25/2)*1.5+(4.16/2)*1.5</f>
        <v>7.0575000000000001</v>
      </c>
      <c r="S33" s="5">
        <f>$AI$9</f>
        <v>4.7773349999999999</v>
      </c>
      <c r="T33" s="5">
        <f>$AF$9</f>
        <v>3.3979499999999998</v>
      </c>
      <c r="V33" s="133" t="s">
        <v>143</v>
      </c>
      <c r="W33" s="5">
        <f>(4.16/2)*1.5+(4.5/2)*1.5</f>
        <v>6.4950000000000001</v>
      </c>
      <c r="X33" s="5">
        <f>$AI$9</f>
        <v>4.7773349999999999</v>
      </c>
      <c r="Y33" s="5">
        <f>$AF$9</f>
        <v>3.3979499999999998</v>
      </c>
    </row>
    <row r="34" spans="2:25" x14ac:dyDescent="0.25">
      <c r="B34" s="133" t="s">
        <v>144</v>
      </c>
      <c r="C34" s="5">
        <f>(4.94/2)+1.2*(4.65/2)</f>
        <v>5.26</v>
      </c>
      <c r="D34" s="5">
        <f>$AI$15</f>
        <v>4.758</v>
      </c>
      <c r="E34" s="5">
        <f>$AF$15</f>
        <v>3.66</v>
      </c>
      <c r="G34" s="133" t="s">
        <v>144</v>
      </c>
      <c r="H34" s="5">
        <f>1.2*(5.05/2)+1.2*(4.95/2)+(4.65/2)</f>
        <v>8.3249999999999993</v>
      </c>
      <c r="I34" s="5">
        <f>$AI$15</f>
        <v>4.758</v>
      </c>
      <c r="J34" s="5">
        <f>$AF$15</f>
        <v>3.66</v>
      </c>
      <c r="L34" s="133" t="s">
        <v>144</v>
      </c>
      <c r="M34" s="5">
        <f>(5.15/2)+(5.25/2)</f>
        <v>5.2</v>
      </c>
      <c r="N34" s="5">
        <f>$AI$15</f>
        <v>4.758</v>
      </c>
      <c r="O34" s="5">
        <f>$AF$15</f>
        <v>3.66</v>
      </c>
      <c r="Q34" s="133" t="s">
        <v>144</v>
      </c>
      <c r="R34" s="5">
        <f>1.2*(5.25/2)+(4.15/2)</f>
        <v>5.2249999999999996</v>
      </c>
      <c r="S34" s="5">
        <f>$AI$15</f>
        <v>4.758</v>
      </c>
      <c r="T34" s="5">
        <f>$AF$15</f>
        <v>3.66</v>
      </c>
      <c r="V34" s="133" t="s">
        <v>144</v>
      </c>
      <c r="W34" s="5">
        <f>(4.15/2)+(4.5/2)+(5.44/2)</f>
        <v>7.0449999999999999</v>
      </c>
      <c r="X34" s="5">
        <f>$AI$15</f>
        <v>4.758</v>
      </c>
      <c r="Y34" s="5">
        <f>$AF$15</f>
        <v>3.66</v>
      </c>
    </row>
    <row r="35" spans="2:25" x14ac:dyDescent="0.25">
      <c r="B35" s="133" t="s">
        <v>144</v>
      </c>
      <c r="C35" s="5">
        <f>1.2*(5.05/2)+1.2*(5.15/2)</f>
        <v>6.12</v>
      </c>
      <c r="D35" s="5">
        <f>$AI$13</f>
        <v>1.2150000000000003</v>
      </c>
      <c r="E35" s="5">
        <f>$AF$13</f>
        <v>0.81000000000000016</v>
      </c>
      <c r="G35" s="133" t="s">
        <v>145</v>
      </c>
      <c r="H35" s="5">
        <v>0</v>
      </c>
      <c r="I35" s="5">
        <f>$AI$10</f>
        <v>17.240725948587251</v>
      </c>
      <c r="J35" s="5">
        <f>$AF$10</f>
        <v>11.04671226814404</v>
      </c>
      <c r="L35" s="133" t="s">
        <v>145</v>
      </c>
      <c r="M35" s="5">
        <v>0</v>
      </c>
      <c r="N35" s="5">
        <f>$AI$10</f>
        <v>17.240725948587251</v>
      </c>
      <c r="O35" s="5">
        <f>$AF$10</f>
        <v>11.04671226814404</v>
      </c>
      <c r="Q35" s="133" t="s">
        <v>144</v>
      </c>
      <c r="R35" s="5">
        <f>(5.15/2)</f>
        <v>2.5750000000000002</v>
      </c>
      <c r="S35" s="5">
        <f>$AI$13</f>
        <v>1.2150000000000003</v>
      </c>
      <c r="T35" s="5">
        <f>$AF$13</f>
        <v>0.81000000000000016</v>
      </c>
      <c r="V35" s="133" t="s">
        <v>145</v>
      </c>
      <c r="W35" s="5">
        <v>0</v>
      </c>
      <c r="X35" s="5">
        <f>$AI$10</f>
        <v>17.240725948587251</v>
      </c>
      <c r="Y35" s="5">
        <f>$AF$10</f>
        <v>11.04671226814404</v>
      </c>
    </row>
    <row r="36" spans="2:25" x14ac:dyDescent="0.25">
      <c r="B36" s="133" t="s">
        <v>145</v>
      </c>
      <c r="C36" s="5">
        <v>0</v>
      </c>
      <c r="D36" s="5">
        <f>$AI$10</f>
        <v>17.240725948587251</v>
      </c>
      <c r="E36" s="5">
        <f>$AF$10</f>
        <v>11.04671226814404</v>
      </c>
      <c r="G36" s="133" t="s">
        <v>146</v>
      </c>
      <c r="H36" s="5">
        <f>(1.2*(4.5/2)+1.2*(4.2/2))*C3</f>
        <v>13.989599999999999</v>
      </c>
      <c r="I36" s="5">
        <f>$AI$11</f>
        <v>7.8000000000000007</v>
      </c>
      <c r="J36" s="5">
        <f>$AF$11</f>
        <v>6</v>
      </c>
      <c r="L36" s="133" t="s">
        <v>146</v>
      </c>
      <c r="M36" s="5">
        <f>((4.6/2)+(4.4/2))*C3</f>
        <v>12.06</v>
      </c>
      <c r="N36" s="5">
        <f>$AI$11</f>
        <v>7.8000000000000007</v>
      </c>
      <c r="O36" s="5">
        <f>$AF$11</f>
        <v>6</v>
      </c>
      <c r="Q36" s="133" t="s">
        <v>145</v>
      </c>
      <c r="R36" s="5">
        <v>0</v>
      </c>
      <c r="S36" s="5">
        <f>$AI$10</f>
        <v>17.240725948587251</v>
      </c>
      <c r="T36" s="5">
        <f>$AF$10</f>
        <v>11.04671226814404</v>
      </c>
      <c r="V36" s="133" t="s">
        <v>146</v>
      </c>
      <c r="W36" s="5">
        <f>((3.6/2)+(4.2/2)+(4.6/2))*C3</f>
        <v>16.616000000000003</v>
      </c>
      <c r="X36" s="5">
        <f>$AI$11</f>
        <v>7.8000000000000007</v>
      </c>
      <c r="Y36" s="5">
        <f>$AF$11</f>
        <v>6</v>
      </c>
    </row>
    <row r="37" spans="2:25" x14ac:dyDescent="0.25">
      <c r="B37" s="133" t="s">
        <v>146</v>
      </c>
      <c r="C37" s="5">
        <v>0</v>
      </c>
      <c r="D37" s="5">
        <f>$AI$11</f>
        <v>7.8000000000000007</v>
      </c>
      <c r="E37" s="5">
        <f>$AF$11</f>
        <v>6</v>
      </c>
      <c r="G37" s="349"/>
      <c r="H37" s="349"/>
      <c r="I37" s="5">
        <f>H$32*I32+H$33*I33+H$34*I34+H$35*I35+H$36*I36</f>
        <v>211.93337205</v>
      </c>
      <c r="J37" s="5">
        <f>H$32*J32+H$33*J33+H$34*J34+H$35*J35+H$36*J36</f>
        <v>155.3929785</v>
      </c>
      <c r="L37" s="349"/>
      <c r="M37" s="349"/>
      <c r="N37" s="5">
        <f>M$32*N32+M$33*N33+M$34*N34+M$35*N35+M$36*N36</f>
        <v>169.27020093750002</v>
      </c>
      <c r="O37" s="5">
        <f>M$32*O32+M$33*O33+M$34*O34+M$35*O35+M$36*O36</f>
        <v>125.29534687499999</v>
      </c>
      <c r="Q37" s="133" t="s">
        <v>146</v>
      </c>
      <c r="R37" s="5">
        <f>((4.4/2)+(3.6/2))*C3</f>
        <v>10.72</v>
      </c>
      <c r="S37" s="5">
        <f>$AI$11</f>
        <v>7.8000000000000007</v>
      </c>
      <c r="T37" s="5">
        <f>$AF$11</f>
        <v>6</v>
      </c>
      <c r="V37" s="349"/>
      <c r="W37" s="349"/>
      <c r="X37" s="5">
        <f>W$32*X32+W$33*X33+W$34*X34+W$35*X35+W$36*X36</f>
        <v>217.44320895000004</v>
      </c>
      <c r="Y37" s="5">
        <f>W$32*Y32+W$33*Y33+W$34*Y34+W$35*Y35+W$36*Y36</f>
        <v>162.65289150000001</v>
      </c>
    </row>
    <row r="38" spans="2:25" x14ac:dyDescent="0.25">
      <c r="B38" s="349"/>
      <c r="C38" s="349"/>
      <c r="D38" s="5">
        <f>C$32*D32+C$33*D33+C$34*D34+C$36*D36+C$37*D37</f>
        <v>155.64897357000001</v>
      </c>
      <c r="E38" s="5">
        <f>C32*E32+C33*E33+C34*E34+C36*E36+C37*E37</f>
        <v>103.95574889999999</v>
      </c>
      <c r="G38" s="169" t="s">
        <v>147</v>
      </c>
      <c r="H38" s="169"/>
      <c r="I38" s="5">
        <f>$AG$14</f>
        <v>18.291</v>
      </c>
      <c r="J38" s="5">
        <f>$AF$14</f>
        <v>14.069999999999999</v>
      </c>
      <c r="L38" s="169" t="s">
        <v>147</v>
      </c>
      <c r="M38" s="169"/>
      <c r="N38" s="5">
        <f>$AG$14</f>
        <v>18.291</v>
      </c>
      <c r="O38" s="5">
        <f>$AF$14</f>
        <v>14.069999999999999</v>
      </c>
      <c r="Q38" s="349"/>
      <c r="R38" s="349"/>
      <c r="S38" s="5">
        <f>R$32*S32+R$33*S33+R$34*S34+R$36*S36+R$37*S37</f>
        <v>197.13194426250001</v>
      </c>
      <c r="T38" s="5">
        <f>R$32*T32+R$33*T33+R$34*T34+R$36*T36+R$37*T37</f>
        <v>143.05095712500002</v>
      </c>
      <c r="V38" s="169" t="s">
        <v>147</v>
      </c>
      <c r="W38" s="169"/>
      <c r="X38" s="5">
        <f>$AG$14</f>
        <v>18.291</v>
      </c>
      <c r="Y38" s="5">
        <f>$AF$14</f>
        <v>14.069999999999999</v>
      </c>
    </row>
    <row r="39" spans="2:25" x14ac:dyDescent="0.25">
      <c r="B39" s="169" t="s">
        <v>147</v>
      </c>
      <c r="C39" s="169"/>
      <c r="D39" s="5">
        <f>$AG$14</f>
        <v>18.291</v>
      </c>
      <c r="E39" s="5">
        <f>$AF$14</f>
        <v>14.069999999999999</v>
      </c>
      <c r="G39" s="169" t="s">
        <v>109</v>
      </c>
      <c r="H39" s="169"/>
      <c r="I39" s="5">
        <f>SUM(I37:I38)</f>
        <v>230.22437205</v>
      </c>
      <c r="J39" s="5">
        <f>SUM(J37:J38)</f>
        <v>169.46297849999999</v>
      </c>
      <c r="L39" s="169" t="s">
        <v>109</v>
      </c>
      <c r="M39" s="169"/>
      <c r="N39" s="5">
        <f>SUM(N37:N38)</f>
        <v>187.56120093750002</v>
      </c>
      <c r="O39" s="5">
        <f>SUM(O37:O38)</f>
        <v>139.365346875</v>
      </c>
      <c r="Q39" s="169" t="s">
        <v>147</v>
      </c>
      <c r="R39" s="169"/>
      <c r="S39" s="5">
        <f>$AG$14</f>
        <v>18.291</v>
      </c>
      <c r="T39" s="5">
        <f>$AF$14</f>
        <v>14.069999999999999</v>
      </c>
      <c r="V39" s="169" t="s">
        <v>109</v>
      </c>
      <c r="W39" s="169"/>
      <c r="X39" s="5">
        <f>SUM(X37:X38)</f>
        <v>235.73420895000004</v>
      </c>
      <c r="Y39" s="5">
        <f>SUM(Y37:Y38)</f>
        <v>176.7228915</v>
      </c>
    </row>
    <row r="40" spans="2:25" x14ac:dyDescent="0.25">
      <c r="B40" s="169" t="s">
        <v>109</v>
      </c>
      <c r="C40" s="169"/>
      <c r="D40" s="5">
        <f>SUM(D38:D39)</f>
        <v>173.93997357000001</v>
      </c>
      <c r="E40" s="5">
        <f>SUM(E38:E39)</f>
        <v>118.02574889999998</v>
      </c>
      <c r="Q40" s="169" t="s">
        <v>109</v>
      </c>
      <c r="R40" s="169"/>
      <c r="S40" s="5">
        <f>SUM(S38:S39)</f>
        <v>215.42294426250001</v>
      </c>
      <c r="T40" s="5">
        <f>SUM(T38:T39)</f>
        <v>157.12095712500002</v>
      </c>
    </row>
    <row r="42" spans="2:25" ht="18.75" x14ac:dyDescent="0.25">
      <c r="B42" s="348" t="s">
        <v>157</v>
      </c>
      <c r="C42" s="348"/>
      <c r="D42" s="348"/>
      <c r="E42" s="348"/>
      <c r="G42" s="348" t="s">
        <v>158</v>
      </c>
      <c r="H42" s="348"/>
      <c r="I42" s="348"/>
      <c r="J42" s="348"/>
      <c r="L42" s="348" t="s">
        <v>159</v>
      </c>
      <c r="M42" s="348"/>
      <c r="N42" s="348"/>
      <c r="O42" s="348"/>
    </row>
    <row r="43" spans="2:25" x14ac:dyDescent="0.25">
      <c r="B43" s="133"/>
      <c r="C43" s="133" t="s">
        <v>140</v>
      </c>
      <c r="D43" s="133" t="s">
        <v>102</v>
      </c>
      <c r="E43" s="133" t="s">
        <v>160</v>
      </c>
      <c r="G43" s="133"/>
      <c r="H43" s="133" t="s">
        <v>140</v>
      </c>
      <c r="I43" s="133" t="s">
        <v>102</v>
      </c>
      <c r="J43" s="133" t="s">
        <v>160</v>
      </c>
      <c r="L43" s="133"/>
      <c r="M43" s="133" t="s">
        <v>140</v>
      </c>
      <c r="N43" s="133" t="s">
        <v>102</v>
      </c>
      <c r="O43" s="133" t="s">
        <v>160</v>
      </c>
    </row>
    <row r="44" spans="2:25" x14ac:dyDescent="0.25">
      <c r="B44" s="133" t="s">
        <v>142</v>
      </c>
      <c r="C44" s="5">
        <f>(4.8/2)*(5/2)</f>
        <v>6</v>
      </c>
      <c r="D44" s="5">
        <f>$AI$8</f>
        <v>4.7773349999999999</v>
      </c>
      <c r="E44" s="5">
        <f>$AF$8</f>
        <v>3.09795</v>
      </c>
      <c r="G44" s="133" t="s">
        <v>142</v>
      </c>
      <c r="H44" s="5">
        <f>(4.8/2)*(5/2)+(4.5/2)*(5/2)</f>
        <v>11.625</v>
      </c>
      <c r="I44" s="5">
        <f>$AI$8</f>
        <v>4.7773349999999999</v>
      </c>
      <c r="J44" s="5">
        <f>$AF$8</f>
        <v>3.09795</v>
      </c>
      <c r="L44" s="133" t="s">
        <v>142</v>
      </c>
      <c r="M44" s="5">
        <f>(4.5/2)*(5/2)</f>
        <v>5.625</v>
      </c>
      <c r="N44" s="5">
        <f>$AI$8</f>
        <v>4.7773349999999999</v>
      </c>
      <c r="O44" s="5">
        <f>$AF$8</f>
        <v>3.09795</v>
      </c>
    </row>
    <row r="45" spans="2:25" x14ac:dyDescent="0.25">
      <c r="B45" s="133" t="s">
        <v>143</v>
      </c>
      <c r="C45" s="5">
        <f>(4.5/2)*1.5+(4.94/2)*1.5</f>
        <v>7.08</v>
      </c>
      <c r="D45" s="5">
        <f>$AI$9</f>
        <v>4.7773349999999999</v>
      </c>
      <c r="E45" s="5">
        <f>$AF$9</f>
        <v>3.3979499999999998</v>
      </c>
      <c r="G45" s="133" t="s">
        <v>143</v>
      </c>
      <c r="H45" s="5">
        <f>(4.94/2)*1.5+(4.65/2)*1.5</f>
        <v>7.1925000000000008</v>
      </c>
      <c r="I45" s="5">
        <f>$AI$9</f>
        <v>4.7773349999999999</v>
      </c>
      <c r="J45" s="5">
        <f>$AF$9</f>
        <v>3.3979499999999998</v>
      </c>
      <c r="L45" s="133" t="s">
        <v>143</v>
      </c>
      <c r="M45" s="5">
        <f>(4.64/2)*1.5</f>
        <v>3.4799999999999995</v>
      </c>
      <c r="N45" s="5">
        <f>$AI$9</f>
        <v>4.7773349999999999</v>
      </c>
      <c r="O45" s="5">
        <f>$AF$9</f>
        <v>3.3979499999999998</v>
      </c>
    </row>
    <row r="46" spans="2:25" x14ac:dyDescent="0.25">
      <c r="B46" s="133" t="s">
        <v>144</v>
      </c>
      <c r="C46" s="5">
        <f>(4.5/2)+(4.95/2)+(5.44/2)</f>
        <v>7.4450000000000003</v>
      </c>
      <c r="D46" s="5">
        <f>$AI$15</f>
        <v>4.758</v>
      </c>
      <c r="E46" s="5">
        <f>$AF$15</f>
        <v>3.66</v>
      </c>
      <c r="G46" s="133" t="s">
        <v>144</v>
      </c>
      <c r="H46" s="5">
        <f>(4.95/2)+(4.65/2)</f>
        <v>4.8000000000000007</v>
      </c>
      <c r="I46" s="5">
        <f>$AI$15</f>
        <v>4.758</v>
      </c>
      <c r="J46" s="5">
        <f>$AF$15</f>
        <v>3.66</v>
      </c>
      <c r="L46" s="133" t="s">
        <v>144</v>
      </c>
      <c r="M46" s="5">
        <f>(4.65/2)+(4.95/2)</f>
        <v>4.8000000000000007</v>
      </c>
      <c r="N46" s="5">
        <f>$AI$15</f>
        <v>4.758</v>
      </c>
      <c r="O46" s="5">
        <f>$AF$15</f>
        <v>3.66</v>
      </c>
    </row>
    <row r="47" spans="2:25" x14ac:dyDescent="0.25">
      <c r="B47" s="133" t="s">
        <v>145</v>
      </c>
      <c r="C47" s="5">
        <v>0</v>
      </c>
      <c r="D47" s="5">
        <f>$AI$10</f>
        <v>17.240725948587251</v>
      </c>
      <c r="E47" s="5">
        <f>$AF$10</f>
        <v>11.04671226814404</v>
      </c>
      <c r="G47" s="133" t="s">
        <v>144</v>
      </c>
      <c r="H47" s="5">
        <f>(5.15/2)</f>
        <v>2.5750000000000002</v>
      </c>
      <c r="I47" s="5">
        <f>$AI$13</f>
        <v>1.2150000000000003</v>
      </c>
      <c r="J47" s="5">
        <f>$AF$13</f>
        <v>0.81000000000000016</v>
      </c>
      <c r="L47" s="133" t="s">
        <v>145</v>
      </c>
      <c r="M47" s="5">
        <v>0</v>
      </c>
      <c r="N47" s="5">
        <f>$AI$10</f>
        <v>17.240725948587251</v>
      </c>
      <c r="O47" s="5">
        <f>$AF$10</f>
        <v>11.04671226814404</v>
      </c>
    </row>
    <row r="48" spans="2:25" x14ac:dyDescent="0.25">
      <c r="B48" s="133" t="s">
        <v>146</v>
      </c>
      <c r="C48" s="5">
        <f>((4.2/2)+(4.6/2)+(4.4/2))*C3</f>
        <v>17.688000000000002</v>
      </c>
      <c r="D48" s="5">
        <f>$AI$11</f>
        <v>7.8000000000000007</v>
      </c>
      <c r="E48" s="5">
        <f>$AF$11</f>
        <v>6</v>
      </c>
      <c r="G48" s="133" t="s">
        <v>145</v>
      </c>
      <c r="H48" s="5">
        <v>0</v>
      </c>
      <c r="I48" s="5">
        <f>$AI$10</f>
        <v>17.240725948587251</v>
      </c>
      <c r="J48" s="5">
        <f>$AF$10</f>
        <v>11.04671226814404</v>
      </c>
      <c r="L48" s="133" t="s">
        <v>146</v>
      </c>
      <c r="M48" s="5">
        <f>((4.1/2)+(4.2/2))*C3</f>
        <v>11.122000000000002</v>
      </c>
      <c r="N48" s="5">
        <f>$AI$11</f>
        <v>7.8000000000000007</v>
      </c>
      <c r="O48" s="5">
        <f>$AF$11</f>
        <v>6</v>
      </c>
    </row>
    <row r="49" spans="2:15" x14ac:dyDescent="0.25">
      <c r="B49" s="349"/>
      <c r="C49" s="349"/>
      <c r="D49" s="5">
        <f>C$44*D44+C$45*D45+C$46*D46+C$47*D47+C$48*D48</f>
        <v>235.87725180000001</v>
      </c>
      <c r="E49" s="5">
        <f>C$44*E44+C$45*E45+C$46*E46+C$47*E47+C$48*E48</f>
        <v>176.02188599999999</v>
      </c>
      <c r="G49" s="133" t="s">
        <v>146</v>
      </c>
      <c r="H49" s="5">
        <f>((4.4/2)+(4.1/2))*C3</f>
        <v>11.39</v>
      </c>
      <c r="I49" s="5">
        <f>$AI$11</f>
        <v>7.8000000000000007</v>
      </c>
      <c r="J49" s="5">
        <f>$AF$11</f>
        <v>6</v>
      </c>
      <c r="L49" s="349"/>
      <c r="M49" s="349"/>
      <c r="N49" s="5">
        <f>M$44*N44+M$45*N45+M$46*N46+M$47*N47+M$48*N48</f>
        <v>153.08763517500003</v>
      </c>
      <c r="O49" s="5">
        <f>M$44*O44+M$45*O45+M$46*O46+M$47*O47+M$48*O48</f>
        <v>113.55083475000001</v>
      </c>
    </row>
    <row r="50" spans="2:15" x14ac:dyDescent="0.25">
      <c r="B50" s="169" t="s">
        <v>147</v>
      </c>
      <c r="C50" s="169"/>
      <c r="D50" s="5">
        <f>$AG$14</f>
        <v>18.291</v>
      </c>
      <c r="E50" s="5">
        <f>$AF$14</f>
        <v>14.069999999999999</v>
      </c>
      <c r="G50" s="349"/>
      <c r="H50" s="349"/>
      <c r="I50" s="5">
        <f>H$44*I44+H$45*I45+H$46*I46+H$48*I48+H$49*I49</f>
        <v>201.57790136250003</v>
      </c>
      <c r="J50" s="5">
        <f>H$44*J44+H$45*J45+H$46*J46+H$48*J48+H$49*J49</f>
        <v>146.36142412500001</v>
      </c>
      <c r="L50" s="169" t="s">
        <v>147</v>
      </c>
      <c r="M50" s="169"/>
      <c r="N50" s="5">
        <f>$AG$14</f>
        <v>18.291</v>
      </c>
      <c r="O50" s="5">
        <f>$AF$14</f>
        <v>14.069999999999999</v>
      </c>
    </row>
    <row r="51" spans="2:15" x14ac:dyDescent="0.25">
      <c r="B51" s="169" t="s">
        <v>109</v>
      </c>
      <c r="C51" s="169"/>
      <c r="D51" s="5">
        <f>SUM(D49:D50)</f>
        <v>254.16825180000001</v>
      </c>
      <c r="E51" s="5">
        <f>SUM(E49:E50)</f>
        <v>190.09188599999999</v>
      </c>
      <c r="G51" s="169" t="s">
        <v>147</v>
      </c>
      <c r="H51" s="169"/>
      <c r="I51" s="5">
        <f>$AG$14</f>
        <v>18.291</v>
      </c>
      <c r="J51" s="5">
        <f>$AF$14</f>
        <v>14.069999999999999</v>
      </c>
      <c r="L51" s="169" t="s">
        <v>109</v>
      </c>
      <c r="M51" s="169"/>
      <c r="N51" s="5">
        <f>SUM(N49:N50)</f>
        <v>171.37863517500003</v>
      </c>
      <c r="O51" s="5">
        <f>SUM(O49:O50)</f>
        <v>127.62083475</v>
      </c>
    </row>
    <row r="52" spans="2:15" x14ac:dyDescent="0.25">
      <c r="G52" s="169" t="s">
        <v>109</v>
      </c>
      <c r="H52" s="169"/>
      <c r="I52" s="5">
        <f>SUM(I50:I51)</f>
        <v>219.86890136250003</v>
      </c>
      <c r="J52" s="5">
        <f>SUM(J50:J51)</f>
        <v>160.43142412500001</v>
      </c>
    </row>
  </sheetData>
  <mergeCells count="100">
    <mergeCell ref="AA11:AB11"/>
    <mergeCell ref="B2:C2"/>
    <mergeCell ref="B6:E6"/>
    <mergeCell ref="G6:J6"/>
    <mergeCell ref="L6:O6"/>
    <mergeCell ref="Q6:T6"/>
    <mergeCell ref="V6:Y6"/>
    <mergeCell ref="AA6:AB6"/>
    <mergeCell ref="AA7:AB7"/>
    <mergeCell ref="AA8:AB8"/>
    <mergeCell ref="AA9:AB9"/>
    <mergeCell ref="AA10:AB10"/>
    <mergeCell ref="B13:C13"/>
    <mergeCell ref="L13:M13"/>
    <mergeCell ref="Q13:R13"/>
    <mergeCell ref="AA13:AB13"/>
    <mergeCell ref="B14:C14"/>
    <mergeCell ref="L14:M14"/>
    <mergeCell ref="Q14:R14"/>
    <mergeCell ref="V14:W14"/>
    <mergeCell ref="AA14:AB14"/>
    <mergeCell ref="AK13:AN13"/>
    <mergeCell ref="AC20:AE20"/>
    <mergeCell ref="AK6:AQ6"/>
    <mergeCell ref="AK7:AN7"/>
    <mergeCell ref="G16:H16"/>
    <mergeCell ref="V16:W16"/>
    <mergeCell ref="G18:J18"/>
    <mergeCell ref="L18:O18"/>
    <mergeCell ref="Q18:T18"/>
    <mergeCell ref="V18:Y18"/>
    <mergeCell ref="G15:H15"/>
    <mergeCell ref="L15:M15"/>
    <mergeCell ref="Q15:R15"/>
    <mergeCell ref="V15:W15"/>
    <mergeCell ref="AA15:AB15"/>
    <mergeCell ref="AA12:AB12"/>
    <mergeCell ref="AK14:AN14"/>
    <mergeCell ref="AC21:AE21"/>
    <mergeCell ref="AC22:AE22"/>
    <mergeCell ref="B25:C25"/>
    <mergeCell ref="G25:H25"/>
    <mergeCell ref="Q25:R25"/>
    <mergeCell ref="V25:W25"/>
    <mergeCell ref="B18:E18"/>
    <mergeCell ref="B15:C15"/>
    <mergeCell ref="AK15:AN15"/>
    <mergeCell ref="AK17:AN17"/>
    <mergeCell ref="AK18:AN18"/>
    <mergeCell ref="B26:C26"/>
    <mergeCell ref="G26:H26"/>
    <mergeCell ref="L26:M26"/>
    <mergeCell ref="Q26:R26"/>
    <mergeCell ref="V26:W26"/>
    <mergeCell ref="AK16:AN16"/>
    <mergeCell ref="B27:C27"/>
    <mergeCell ref="G27:H27"/>
    <mergeCell ref="L27:M27"/>
    <mergeCell ref="Q27:R27"/>
    <mergeCell ref="V27:W27"/>
    <mergeCell ref="AK19:AN19"/>
    <mergeCell ref="L28:M28"/>
    <mergeCell ref="B30:E30"/>
    <mergeCell ref="G30:J30"/>
    <mergeCell ref="L30:O30"/>
    <mergeCell ref="Q30:T30"/>
    <mergeCell ref="V30:Y30"/>
    <mergeCell ref="Q39:R39"/>
    <mergeCell ref="V39:W39"/>
    <mergeCell ref="B40:C40"/>
    <mergeCell ref="Q40:R40"/>
    <mergeCell ref="G37:H37"/>
    <mergeCell ref="L37:M37"/>
    <mergeCell ref="V37:W37"/>
    <mergeCell ref="B38:C38"/>
    <mergeCell ref="G38:H38"/>
    <mergeCell ref="L38:M38"/>
    <mergeCell ref="Q38:R38"/>
    <mergeCell ref="V38:W38"/>
    <mergeCell ref="AK8:AN8"/>
    <mergeCell ref="AK9:AN9"/>
    <mergeCell ref="AK10:AN10"/>
    <mergeCell ref="AK11:AN11"/>
    <mergeCell ref="AK12:AN12"/>
    <mergeCell ref="B51:C51"/>
    <mergeCell ref="G51:H51"/>
    <mergeCell ref="L51:M51"/>
    <mergeCell ref="G52:H52"/>
    <mergeCell ref="AC19:AF19"/>
    <mergeCell ref="B42:E42"/>
    <mergeCell ref="G42:J42"/>
    <mergeCell ref="L42:O42"/>
    <mergeCell ref="B49:C49"/>
    <mergeCell ref="L49:M49"/>
    <mergeCell ref="B50:C50"/>
    <mergeCell ref="G50:H50"/>
    <mergeCell ref="L50:M50"/>
    <mergeCell ref="B39:C39"/>
    <mergeCell ref="G39:H39"/>
    <mergeCell ref="L39:M39"/>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1"/>
  <sheetViews>
    <sheetView topLeftCell="H1" workbookViewId="0">
      <selection activeCell="F30" sqref="F30"/>
    </sheetView>
  </sheetViews>
  <sheetFormatPr defaultRowHeight="15" x14ac:dyDescent="0.25"/>
  <cols>
    <col min="3" max="3" width="10.7109375" customWidth="1"/>
  </cols>
  <sheetData>
    <row r="2" spans="2:11" x14ac:dyDescent="0.25">
      <c r="B2" s="189" t="s">
        <v>161</v>
      </c>
      <c r="C2" s="190"/>
      <c r="D2" s="56" t="s">
        <v>174</v>
      </c>
    </row>
    <row r="3" spans="2:11" x14ac:dyDescent="0.25">
      <c r="B3" s="189" t="s">
        <v>162</v>
      </c>
      <c r="C3" s="190"/>
      <c r="D3" s="27" t="s">
        <v>39</v>
      </c>
    </row>
    <row r="4" spans="2:11" x14ac:dyDescent="0.25">
      <c r="B4" s="189" t="s">
        <v>163</v>
      </c>
      <c r="C4" s="190"/>
      <c r="D4" s="27" t="s">
        <v>164</v>
      </c>
    </row>
    <row r="5" spans="2:11" x14ac:dyDescent="0.25">
      <c r="B5" s="60"/>
      <c r="C5" s="25"/>
    </row>
    <row r="7" spans="2:11" x14ac:dyDescent="0.25">
      <c r="B7" s="191" t="s">
        <v>165</v>
      </c>
      <c r="C7" s="192"/>
      <c r="D7" s="193"/>
      <c r="E7" s="54" t="s">
        <v>166</v>
      </c>
      <c r="F7" s="54" t="s">
        <v>49</v>
      </c>
      <c r="G7" s="54" t="s">
        <v>50</v>
      </c>
      <c r="H7" s="54" t="s">
        <v>51</v>
      </c>
    </row>
    <row r="8" spans="2:11" x14ac:dyDescent="0.25">
      <c r="B8" s="185" t="s">
        <v>167</v>
      </c>
      <c r="C8" s="185"/>
      <c r="D8" s="185"/>
      <c r="E8" s="58">
        <v>30</v>
      </c>
      <c r="F8" s="58">
        <v>8.4000000000000005E-2</v>
      </c>
      <c r="G8" s="58">
        <v>2.5510000000000002</v>
      </c>
      <c r="H8" s="58">
        <v>0.24</v>
      </c>
      <c r="J8" s="184" t="s">
        <v>168</v>
      </c>
      <c r="K8" s="184"/>
    </row>
    <row r="9" spans="2:11" x14ac:dyDescent="0.25">
      <c r="B9" s="185" t="s">
        <v>169</v>
      </c>
      <c r="C9" s="185"/>
      <c r="D9" s="185"/>
      <c r="E9" s="58">
        <v>50</v>
      </c>
      <c r="F9" s="58">
        <v>0.10299999999999999</v>
      </c>
      <c r="G9" s="58">
        <v>2.544</v>
      </c>
      <c r="H9" s="58">
        <v>0.251</v>
      </c>
      <c r="J9" s="28" t="s">
        <v>170</v>
      </c>
      <c r="K9" s="35">
        <v>0.15159344778539699</v>
      </c>
    </row>
    <row r="10" spans="2:11" x14ac:dyDescent="0.25">
      <c r="B10" s="186" t="s">
        <v>171</v>
      </c>
      <c r="C10" s="187"/>
      <c r="D10" s="188"/>
      <c r="E10" s="60">
        <v>475</v>
      </c>
      <c r="F10" s="13">
        <v>0.22</v>
      </c>
      <c r="G10" s="58">
        <v>2.54</v>
      </c>
      <c r="H10" s="58">
        <v>0.32300000000000001</v>
      </c>
      <c r="J10" s="28" t="s">
        <v>187</v>
      </c>
      <c r="K10" s="35">
        <v>8.9300621810690109E-2</v>
      </c>
    </row>
    <row r="11" spans="2:11" x14ac:dyDescent="0.25">
      <c r="B11" s="186" t="s">
        <v>172</v>
      </c>
      <c r="C11" s="187"/>
      <c r="D11" s="188"/>
      <c r="E11" s="58">
        <v>975</v>
      </c>
      <c r="F11" s="58">
        <v>0.28599999999999998</v>
      </c>
      <c r="G11" s="58">
        <v>2.4990000000000001</v>
      </c>
      <c r="H11" s="58">
        <v>0.34899999999999998</v>
      </c>
      <c r="J11" s="29" t="s">
        <v>173</v>
      </c>
      <c r="K11" s="5">
        <f>K9/K10</f>
        <v>1.6975631827823381</v>
      </c>
    </row>
  </sheetData>
  <mergeCells count="9">
    <mergeCell ref="J8:K8"/>
    <mergeCell ref="B9:D9"/>
    <mergeCell ref="B10:D10"/>
    <mergeCell ref="B11:D11"/>
    <mergeCell ref="B2:C2"/>
    <mergeCell ref="B3:C3"/>
    <mergeCell ref="B4:C4"/>
    <mergeCell ref="B7:D7"/>
    <mergeCell ref="B8:D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U120"/>
  <sheetViews>
    <sheetView workbookViewId="0">
      <selection activeCell="N21" sqref="N21"/>
    </sheetView>
  </sheetViews>
  <sheetFormatPr defaultRowHeight="15" x14ac:dyDescent="0.25"/>
  <cols>
    <col min="1" max="1" width="10.42578125" customWidth="1"/>
    <col min="2" max="2" width="11.85546875" customWidth="1"/>
    <col min="4" max="4" width="10.7109375" customWidth="1"/>
    <col min="5" max="5" width="9.42578125" customWidth="1"/>
    <col min="6" max="6" width="9.85546875" customWidth="1"/>
    <col min="7" max="7" width="10.5703125" customWidth="1"/>
    <col min="8" max="8" width="11" customWidth="1"/>
    <col min="9" max="9" width="9.140625" customWidth="1"/>
    <col min="15" max="15" width="11" customWidth="1"/>
    <col min="16" max="16" width="9.7109375" customWidth="1"/>
    <col min="17" max="17" width="10.85546875" customWidth="1"/>
    <col min="26" max="27" width="11.28515625" customWidth="1"/>
    <col min="31" max="31" width="10" customWidth="1"/>
    <col min="32" max="32" width="11.42578125" customWidth="1"/>
    <col min="33" max="33" width="14.85546875" customWidth="1"/>
    <col min="34" max="34" width="11.5703125" customWidth="1"/>
    <col min="35" max="35" width="12.7109375" customWidth="1"/>
    <col min="40" max="40" width="10.140625" customWidth="1"/>
    <col min="41" max="41" width="10.7109375" customWidth="1"/>
    <col min="42" max="42" width="10.28515625" customWidth="1"/>
  </cols>
  <sheetData>
    <row r="2" spans="2:46" ht="17.25" x14ac:dyDescent="0.25">
      <c r="B2" s="74"/>
      <c r="C2" s="74"/>
      <c r="D2" s="70" t="s">
        <v>98</v>
      </c>
      <c r="E2" s="70" t="s">
        <v>99</v>
      </c>
      <c r="F2" s="70" t="s">
        <v>100</v>
      </c>
      <c r="G2" s="70" t="s">
        <v>101</v>
      </c>
      <c r="H2" s="70" t="s">
        <v>102</v>
      </c>
      <c r="I2" s="70" t="s">
        <v>259</v>
      </c>
      <c r="J2" s="70" t="s">
        <v>260</v>
      </c>
      <c r="N2" s="194" t="s">
        <v>261</v>
      </c>
      <c r="O2" s="194"/>
      <c r="P2" s="194"/>
      <c r="Q2" s="75">
        <v>286.78840000000002</v>
      </c>
      <c r="S2" s="195" t="s">
        <v>262</v>
      </c>
      <c r="T2" s="196"/>
      <c r="U2" s="196"/>
      <c r="V2" s="196"/>
      <c r="W2" s="196"/>
      <c r="X2" s="196"/>
      <c r="Y2" s="196"/>
      <c r="Z2" s="197"/>
    </row>
    <row r="3" spans="2:46" ht="17.25" x14ac:dyDescent="0.25">
      <c r="B3" s="198" t="s">
        <v>263</v>
      </c>
      <c r="C3" s="199"/>
      <c r="D3" s="5">
        <f>'[2] PIL del 1° 2° 3° impalcato'!AC$7</f>
        <v>3.8279500000000004</v>
      </c>
      <c r="E3" s="5">
        <v>1.6</v>
      </c>
      <c r="F3" s="5">
        <f>2</f>
        <v>2</v>
      </c>
      <c r="G3" s="5">
        <f>D3+E3+Z$4*F3</f>
        <v>6.0279500000000006</v>
      </c>
      <c r="H3" s="76">
        <f>'[2] PIL del 1° 2° 3° impalcato'!AI$7</f>
        <v>10.056335000000001</v>
      </c>
      <c r="I3" s="3">
        <f>Q6</f>
        <v>254.38840000000002</v>
      </c>
      <c r="J3" s="3">
        <f t="shared" ref="J3:J9" si="0">G3*I3</f>
        <v>1533.4405557800003</v>
      </c>
      <c r="N3" s="194" t="s">
        <v>264</v>
      </c>
      <c r="O3" s="194"/>
      <c r="P3" s="194"/>
      <c r="Q3" s="75">
        <v>9.7200000000000006</v>
      </c>
      <c r="S3" s="77" t="s">
        <v>265</v>
      </c>
      <c r="T3" s="78"/>
      <c r="U3" s="78"/>
      <c r="V3" s="78"/>
      <c r="W3" s="79"/>
      <c r="X3" s="73" t="s">
        <v>14</v>
      </c>
      <c r="Y3" s="73" t="s">
        <v>16</v>
      </c>
      <c r="Z3" s="73" t="s">
        <v>15</v>
      </c>
      <c r="AC3" s="200"/>
      <c r="AD3" s="200"/>
      <c r="AE3" s="201"/>
      <c r="AF3" s="80" t="s">
        <v>266</v>
      </c>
      <c r="AG3" s="80" t="s">
        <v>260</v>
      </c>
      <c r="AH3" s="80" t="s">
        <v>267</v>
      </c>
      <c r="AI3" s="81" t="s">
        <v>268</v>
      </c>
      <c r="AL3" s="70" t="s">
        <v>54</v>
      </c>
      <c r="AM3" s="70" t="s">
        <v>55</v>
      </c>
      <c r="AN3" s="70" t="s">
        <v>56</v>
      </c>
      <c r="AQ3" s="70" t="s">
        <v>54</v>
      </c>
      <c r="AS3" s="70" t="s">
        <v>269</v>
      </c>
      <c r="AT3" s="70" t="s">
        <v>270</v>
      </c>
    </row>
    <row r="4" spans="2:46" ht="17.25" x14ac:dyDescent="0.25">
      <c r="B4" s="202" t="s">
        <v>271</v>
      </c>
      <c r="C4" s="203"/>
      <c r="D4" s="5">
        <f>'[2] PIL del 1° 2° 3° impalcato'!AC$9</f>
        <v>3.5079500000000001</v>
      </c>
      <c r="E4" s="5"/>
      <c r="F4" s="5">
        <v>4</v>
      </c>
      <c r="G4" s="5">
        <f>D4+Z$6*F4</f>
        <v>5.9079499999999996</v>
      </c>
      <c r="H4" s="76">
        <f>'[2] PIL del 4° 5° impalcato'!AI$9</f>
        <v>10.560335</v>
      </c>
      <c r="I4" s="82">
        <f>Q5</f>
        <v>18.899999999999999</v>
      </c>
      <c r="J4" s="3">
        <f t="shared" si="0"/>
        <v>111.66025499999998</v>
      </c>
      <c r="K4" s="88"/>
      <c r="L4" s="88"/>
      <c r="N4" s="194" t="s">
        <v>272</v>
      </c>
      <c r="O4" s="194"/>
      <c r="P4" s="194"/>
      <c r="Q4" s="75">
        <v>3.78</v>
      </c>
      <c r="S4" s="83" t="s">
        <v>18</v>
      </c>
      <c r="T4" s="84"/>
      <c r="U4" s="84"/>
      <c r="V4" s="84"/>
      <c r="W4" s="85"/>
      <c r="X4" s="80">
        <v>0.7</v>
      </c>
      <c r="Y4" s="80">
        <v>0.5</v>
      </c>
      <c r="Z4" s="80">
        <v>0.3</v>
      </c>
      <c r="AC4" s="204" t="s">
        <v>273</v>
      </c>
      <c r="AD4" s="205"/>
      <c r="AE4" s="206"/>
      <c r="AF4" s="11">
        <f>Q7</f>
        <v>330.6</v>
      </c>
      <c r="AG4" s="86">
        <f>J35</f>
        <v>2366.2154700000001</v>
      </c>
      <c r="AH4" s="86">
        <f>P35</f>
        <v>241.20443119266054</v>
      </c>
      <c r="AI4" s="210">
        <f>P34+P43</f>
        <v>8.6939365698729567</v>
      </c>
      <c r="AK4" s="70" t="s">
        <v>57</v>
      </c>
      <c r="AL4" s="58" t="s">
        <v>58</v>
      </c>
      <c r="AM4" s="58" t="s">
        <v>59</v>
      </c>
      <c r="AN4" s="58" t="s">
        <v>60</v>
      </c>
      <c r="AP4" s="70" t="s">
        <v>62</v>
      </c>
      <c r="AQ4" s="3">
        <f>AN5*AH14/AN11</f>
        <v>329.98671152578282</v>
      </c>
      <c r="AS4" s="5">
        <f t="shared" ref="AS4:AS9" si="1">AQ4*AT$12</f>
        <v>173.243023551036</v>
      </c>
      <c r="AT4" s="5">
        <f t="shared" ref="AT4:AT9" si="2">AQ4*AT$11</f>
        <v>395.98405383093944</v>
      </c>
    </row>
    <row r="5" spans="2:46" ht="17.25" x14ac:dyDescent="0.25">
      <c r="B5" s="202" t="s">
        <v>103</v>
      </c>
      <c r="C5" s="203"/>
      <c r="D5" s="5">
        <f>'[2] PIL del 1° 2° 3° impalcato'!AC$10</f>
        <v>8.6467122681440394</v>
      </c>
      <c r="E5" s="5"/>
      <c r="F5" s="5">
        <v>4</v>
      </c>
      <c r="G5" s="5">
        <f>D$5+Z$6*F$5</f>
        <v>11.04671226814404</v>
      </c>
      <c r="H5" s="76">
        <f>'[2] PIL del 4° 5° impalcato'!AI$10</f>
        <v>17.240725948587251</v>
      </c>
      <c r="I5" s="82">
        <f>Q3</f>
        <v>9.7200000000000006</v>
      </c>
      <c r="J5" s="3">
        <f t="shared" si="0"/>
        <v>107.37404324636007</v>
      </c>
      <c r="K5" s="88"/>
      <c r="L5" s="88"/>
      <c r="N5" s="204" t="s">
        <v>274</v>
      </c>
      <c r="O5" s="205"/>
      <c r="P5" s="206"/>
      <c r="Q5" s="75">
        <v>18.899999999999999</v>
      </c>
      <c r="S5" s="83" t="s">
        <v>17</v>
      </c>
      <c r="T5" s="84"/>
      <c r="U5" s="84"/>
      <c r="V5" s="84"/>
      <c r="W5" s="85"/>
      <c r="X5" s="80">
        <v>0.7</v>
      </c>
      <c r="Y5" s="80">
        <v>0.5</v>
      </c>
      <c r="Z5" s="80">
        <v>0.3</v>
      </c>
      <c r="AC5" s="212" t="s">
        <v>275</v>
      </c>
      <c r="AD5" s="213"/>
      <c r="AE5" s="213"/>
      <c r="AF5" s="11">
        <f>Q7</f>
        <v>330.6</v>
      </c>
      <c r="AG5" s="86">
        <f>G44</f>
        <v>507.99996000000004</v>
      </c>
      <c r="AH5" s="86">
        <f>P44</f>
        <v>51.783889908256882</v>
      </c>
      <c r="AI5" s="211"/>
      <c r="AK5" s="70">
        <v>6</v>
      </c>
      <c r="AL5" s="8">
        <f>AG4</f>
        <v>2366.2154700000001</v>
      </c>
      <c r="AM5" s="58">
        <f>AM6+3.2+0.23</f>
        <v>19.93</v>
      </c>
      <c r="AN5" s="3">
        <f t="shared" ref="AN5:AN10" si="3">AL5*AM5</f>
        <v>47158.674317099998</v>
      </c>
      <c r="AP5" s="70" t="s">
        <v>63</v>
      </c>
      <c r="AQ5" s="3">
        <f>AN6*AH14/AN11</f>
        <v>360.59807857335915</v>
      </c>
      <c r="AS5" s="5">
        <f t="shared" si="1"/>
        <v>189.31399125101356</v>
      </c>
      <c r="AT5" s="5">
        <f t="shared" si="2"/>
        <v>432.71769428803105</v>
      </c>
    </row>
    <row r="6" spans="2:46" ht="15" customHeight="1" x14ac:dyDescent="0.25">
      <c r="B6" s="202" t="s">
        <v>104</v>
      </c>
      <c r="C6" s="203"/>
      <c r="D6" s="5">
        <f>'[2] PIL del 1° 2° 3° impalcato'!AC$11</f>
        <v>6</v>
      </c>
      <c r="E6" s="58"/>
      <c r="F6" s="58"/>
      <c r="G6" s="5">
        <f>D6</f>
        <v>6</v>
      </c>
      <c r="H6" s="76">
        <f>'[2] PIL del 1° 2° 3° impalcato'!AI$11</f>
        <v>7.8000000000000007</v>
      </c>
      <c r="I6" s="82">
        <f>Q8</f>
        <v>102.5</v>
      </c>
      <c r="J6" s="3">
        <f t="shared" si="0"/>
        <v>615</v>
      </c>
      <c r="N6" s="194" t="s">
        <v>276</v>
      </c>
      <c r="O6" s="194"/>
      <c r="P6" s="194"/>
      <c r="Q6" s="75">
        <f>Q2-Q3-Q4-Q5</f>
        <v>254.38840000000002</v>
      </c>
      <c r="S6" s="83" t="s">
        <v>19</v>
      </c>
      <c r="T6" s="84"/>
      <c r="U6" s="84"/>
      <c r="V6" s="84"/>
      <c r="W6" s="85"/>
      <c r="X6" s="80">
        <v>0.7</v>
      </c>
      <c r="Y6" s="80">
        <v>0.7</v>
      </c>
      <c r="Z6" s="80">
        <v>0.6</v>
      </c>
      <c r="AC6" s="204" t="s">
        <v>277</v>
      </c>
      <c r="AD6" s="205"/>
      <c r="AE6" s="206"/>
      <c r="AF6" s="11">
        <f>I3</f>
        <v>254.38840000000002</v>
      </c>
      <c r="AG6" s="86">
        <f>J10</f>
        <v>3123.23455402636</v>
      </c>
      <c r="AH6" s="87">
        <f>P13</f>
        <v>318.37253353989399</v>
      </c>
      <c r="AI6" s="87">
        <f>P12</f>
        <v>11.428346589267454</v>
      </c>
      <c r="AK6" s="70">
        <v>5</v>
      </c>
      <c r="AL6" s="8">
        <f>AG$6</f>
        <v>3123.23455402636</v>
      </c>
      <c r="AM6" s="58">
        <f t="shared" ref="AM6:AM8" si="4">AM7+3.2</f>
        <v>16.5</v>
      </c>
      <c r="AN6" s="3">
        <f t="shared" si="3"/>
        <v>51533.370141434942</v>
      </c>
      <c r="AP6" s="70" t="s">
        <v>64</v>
      </c>
      <c r="AQ6" s="3">
        <f>AN7*AH14/AN11</f>
        <v>290.66390575913192</v>
      </c>
      <c r="AS6" s="5">
        <f t="shared" si="1"/>
        <v>152.59855052354428</v>
      </c>
      <c r="AT6" s="5">
        <f t="shared" si="2"/>
        <v>348.79668691095839</v>
      </c>
    </row>
    <row r="7" spans="2:46" ht="15" customHeight="1" x14ac:dyDescent="0.25">
      <c r="B7" s="202" t="s">
        <v>278</v>
      </c>
      <c r="C7" s="203"/>
      <c r="D7" s="5">
        <f>'[2] PIL del 1° 2° 3° impalcato'!AC$12</f>
        <v>4.41</v>
      </c>
      <c r="E7" s="58"/>
      <c r="F7" s="58"/>
      <c r="G7" s="58">
        <f>D7</f>
        <v>4.41</v>
      </c>
      <c r="H7" s="76">
        <f>'[2] PIL del 1° 2° 3° impalcato'!AI$12</f>
        <v>5.7330000000000005</v>
      </c>
      <c r="I7" s="60">
        <f>5.44*2+4.16*3+4.5*3+4.94*3+4.46+5.25+4.65*2+4.85*3+5.15+5.44*2+5.05+4.95</f>
        <v>111.27</v>
      </c>
      <c r="J7" s="3">
        <f t="shared" si="0"/>
        <v>490.70069999999998</v>
      </c>
      <c r="N7" s="194" t="s">
        <v>279</v>
      </c>
      <c r="O7" s="194"/>
      <c r="P7" s="194"/>
      <c r="Q7" s="75">
        <v>330.6</v>
      </c>
      <c r="S7" s="207" t="s">
        <v>20</v>
      </c>
      <c r="T7" s="208"/>
      <c r="U7" s="208"/>
      <c r="V7" s="208"/>
      <c r="W7" s="209"/>
      <c r="X7" s="80">
        <v>0.7</v>
      </c>
      <c r="Y7" s="80">
        <v>0.7</v>
      </c>
      <c r="Z7" s="80">
        <v>0.6</v>
      </c>
      <c r="AC7" s="204" t="s">
        <v>280</v>
      </c>
      <c r="AD7" s="205"/>
      <c r="AE7" s="206"/>
      <c r="AF7" s="11">
        <f>Q6</f>
        <v>254.38840000000002</v>
      </c>
      <c r="AG7" s="86">
        <f>J22</f>
        <v>3044.50705402636</v>
      </c>
      <c r="AH7" s="87">
        <f>P24</f>
        <v>310.3473041820958</v>
      </c>
      <c r="AI7" s="87">
        <f>P23</f>
        <v>11.140271793557135</v>
      </c>
      <c r="AK7" s="70">
        <v>4</v>
      </c>
      <c r="AL7" s="8">
        <f>AG$6</f>
        <v>3123.23455402636</v>
      </c>
      <c r="AM7" s="58">
        <f t="shared" si="4"/>
        <v>13.3</v>
      </c>
      <c r="AN7" s="3">
        <f t="shared" si="3"/>
        <v>41539.01956855059</v>
      </c>
      <c r="AP7" s="70" t="s">
        <v>66</v>
      </c>
      <c r="AQ7" s="3">
        <f>AN8*AH14/AN11</f>
        <v>220.72973294490475</v>
      </c>
      <c r="AS7" s="5">
        <f t="shared" si="1"/>
        <v>115.883109796075</v>
      </c>
      <c r="AT7" s="5">
        <f t="shared" si="2"/>
        <v>264.87567953388572</v>
      </c>
    </row>
    <row r="8" spans="2:46" ht="15.75" customHeight="1" x14ac:dyDescent="0.25">
      <c r="B8" s="202" t="s">
        <v>281</v>
      </c>
      <c r="C8" s="203"/>
      <c r="D8" s="5">
        <f>'[2] PIL del 1° 2° 3° impalcato'!AC$13</f>
        <v>0.81000000000000016</v>
      </c>
      <c r="E8" s="58"/>
      <c r="F8" s="58"/>
      <c r="G8" s="5">
        <f>D8</f>
        <v>0.81000000000000016</v>
      </c>
      <c r="H8" s="76">
        <f>'[2] PIL del 1° 2° 3° impalcato'!AI$13</f>
        <v>1.2150000000000003</v>
      </c>
      <c r="I8" s="58">
        <f>5.05*2+5.15*2</f>
        <v>20.399999999999999</v>
      </c>
      <c r="J8" s="3">
        <f t="shared" si="0"/>
        <v>16.524000000000001</v>
      </c>
      <c r="N8" s="204" t="s">
        <v>282</v>
      </c>
      <c r="O8" s="205"/>
      <c r="P8" s="206"/>
      <c r="Q8" s="75">
        <f>(83+83+19.5+19.5)/2</f>
        <v>102.5</v>
      </c>
      <c r="S8" s="207" t="s">
        <v>21</v>
      </c>
      <c r="T8" s="208"/>
      <c r="U8" s="208"/>
      <c r="V8" s="208"/>
      <c r="W8" s="209"/>
      <c r="X8" s="80">
        <v>1</v>
      </c>
      <c r="Y8" s="80">
        <v>0.9</v>
      </c>
      <c r="Z8" s="80">
        <v>0.8</v>
      </c>
      <c r="AK8" s="70">
        <v>3</v>
      </c>
      <c r="AL8" s="8">
        <f>AG$6</f>
        <v>3123.23455402636</v>
      </c>
      <c r="AM8" s="58">
        <f t="shared" si="4"/>
        <v>10.100000000000001</v>
      </c>
      <c r="AN8" s="3">
        <f t="shared" si="3"/>
        <v>31544.668995666241</v>
      </c>
      <c r="AP8" s="70" t="s">
        <v>68</v>
      </c>
      <c r="AQ8" s="3">
        <f>AN9*AH14/AN11</f>
        <v>150.79556013067747</v>
      </c>
      <c r="AS8" s="5">
        <f t="shared" si="1"/>
        <v>79.167669068605676</v>
      </c>
      <c r="AT8" s="5">
        <f t="shared" si="2"/>
        <v>180.95467215681299</v>
      </c>
    </row>
    <row r="9" spans="2:46" x14ac:dyDescent="0.25">
      <c r="B9" s="202" t="s">
        <v>283</v>
      </c>
      <c r="C9" s="203"/>
      <c r="D9" s="5">
        <f>'[2] PIL del 1° 2° 3° impalcato'!AC$14</f>
        <v>13.807499999999997</v>
      </c>
      <c r="E9" s="58"/>
      <c r="F9" s="58"/>
      <c r="G9" s="5">
        <f>D9</f>
        <v>13.807499999999997</v>
      </c>
      <c r="H9" s="76">
        <f>'[2] PIL del 1° 2° 3° impalcato'!AI$14</f>
        <v>17.949749999999998</v>
      </c>
      <c r="I9" s="58">
        <v>18</v>
      </c>
      <c r="J9" s="3">
        <f t="shared" si="0"/>
        <v>248.53499999999997</v>
      </c>
      <c r="N9" s="88"/>
      <c r="S9" s="207" t="s">
        <v>284</v>
      </c>
      <c r="T9" s="208"/>
      <c r="U9" s="208"/>
      <c r="V9" s="208"/>
      <c r="W9" s="209"/>
      <c r="X9" s="80">
        <v>0.7</v>
      </c>
      <c r="Y9" s="80">
        <v>0.7</v>
      </c>
      <c r="Z9" s="80">
        <v>0.6</v>
      </c>
      <c r="AK9" s="70">
        <v>2</v>
      </c>
      <c r="AL9" s="8">
        <f>AG$6</f>
        <v>3123.23455402636</v>
      </c>
      <c r="AM9" s="58">
        <f>AM10+3.2</f>
        <v>6.9</v>
      </c>
      <c r="AN9" s="3">
        <f t="shared" si="3"/>
        <v>21550.318422781886</v>
      </c>
      <c r="AP9" s="70" t="s">
        <v>70</v>
      </c>
      <c r="AQ9" s="3">
        <f>AN10*AH14/AN11</f>
        <v>80.861387316450234</v>
      </c>
      <c r="AS9" s="5">
        <f t="shared" si="1"/>
        <v>42.452228341136376</v>
      </c>
      <c r="AT9" s="5">
        <f t="shared" si="2"/>
        <v>97.033664779740292</v>
      </c>
    </row>
    <row r="10" spans="2:46" x14ac:dyDescent="0.25">
      <c r="B10" s="217"/>
      <c r="C10" s="217"/>
      <c r="D10" s="217"/>
      <c r="E10" s="217"/>
      <c r="F10" s="217"/>
      <c r="G10" s="217"/>
      <c r="H10" s="217"/>
      <c r="I10" s="218"/>
      <c r="J10" s="89">
        <f>SUM(J3:J9)</f>
        <v>3123.23455402636</v>
      </c>
      <c r="N10" s="88"/>
      <c r="S10" s="207" t="s">
        <v>22</v>
      </c>
      <c r="T10" s="208"/>
      <c r="U10" s="208"/>
      <c r="V10" s="208"/>
      <c r="W10" s="209"/>
      <c r="X10" s="80">
        <v>0.7</v>
      </c>
      <c r="Y10" s="80">
        <v>0.5</v>
      </c>
      <c r="Z10" s="80">
        <v>0.3</v>
      </c>
      <c r="AC10" s="219" t="s">
        <v>285</v>
      </c>
      <c r="AD10" s="220"/>
      <c r="AE10" s="220"/>
      <c r="AF10" s="220"/>
      <c r="AG10" s="221"/>
      <c r="AH10" s="87">
        <f>AH4+AH5+AH6*3+AH7*2</f>
        <v>1868.8005300847908</v>
      </c>
      <c r="AK10" s="70">
        <v>1</v>
      </c>
      <c r="AL10" s="8">
        <f>AG$6</f>
        <v>3123.23455402636</v>
      </c>
      <c r="AM10" s="58">
        <v>3.7</v>
      </c>
      <c r="AN10" s="3">
        <f t="shared" si="3"/>
        <v>11555.967849897532</v>
      </c>
      <c r="AP10" s="70" t="s">
        <v>73</v>
      </c>
      <c r="AQ10" s="8">
        <f>SUM(AQ4:AQ9)</f>
        <v>1433.6353762503065</v>
      </c>
    </row>
    <row r="11" spans="2:46" x14ac:dyDescent="0.25">
      <c r="N11" s="198" t="s">
        <v>277</v>
      </c>
      <c r="O11" s="222"/>
      <c r="P11" s="199"/>
      <c r="S11" s="207" t="s">
        <v>23</v>
      </c>
      <c r="T11" s="208"/>
      <c r="U11" s="208"/>
      <c r="V11" s="208"/>
      <c r="W11" s="209"/>
      <c r="X11" s="80">
        <v>0</v>
      </c>
      <c r="Y11" s="80">
        <v>0</v>
      </c>
      <c r="Z11" s="80">
        <v>0</v>
      </c>
      <c r="AC11" s="90"/>
      <c r="AD11" s="91"/>
      <c r="AE11" s="91"/>
      <c r="AF11" s="91"/>
      <c r="AG11" s="91"/>
      <c r="AH11" s="92"/>
      <c r="AL11" s="214" t="s">
        <v>72</v>
      </c>
      <c r="AM11" s="215"/>
      <c r="AN11" s="2">
        <f>SUM(AN5:AN10)</f>
        <v>204882.01929543121</v>
      </c>
      <c r="AS11" s="70" t="s">
        <v>286</v>
      </c>
      <c r="AT11" s="5">
        <f>24*0.05</f>
        <v>1.2000000000000002</v>
      </c>
    </row>
    <row r="12" spans="2:46" x14ac:dyDescent="0.25">
      <c r="N12" s="172" t="s">
        <v>268</v>
      </c>
      <c r="O12" s="174"/>
      <c r="P12" s="3">
        <f>J10/(I3+I4)</f>
        <v>11.428346589267454</v>
      </c>
      <c r="S12" s="207" t="s">
        <v>24</v>
      </c>
      <c r="T12" s="208"/>
      <c r="U12" s="208"/>
      <c r="V12" s="208"/>
      <c r="W12" s="209"/>
      <c r="X12" s="80">
        <v>0.6</v>
      </c>
      <c r="Y12" s="80">
        <v>0.2</v>
      </c>
      <c r="Z12" s="80">
        <v>0</v>
      </c>
      <c r="AC12" s="204" t="s">
        <v>105</v>
      </c>
      <c r="AD12" s="205"/>
      <c r="AE12" s="205"/>
      <c r="AF12" s="205"/>
      <c r="AG12" s="206"/>
      <c r="AH12" s="93">
        <f>3.2*5+3.7</f>
        <v>19.7</v>
      </c>
      <c r="AS12" s="70" t="s">
        <v>287</v>
      </c>
      <c r="AT12" s="5">
        <f>10.5*0.05</f>
        <v>0.52500000000000002</v>
      </c>
    </row>
    <row r="13" spans="2:46" x14ac:dyDescent="0.25">
      <c r="N13" s="172" t="s">
        <v>267</v>
      </c>
      <c r="O13" s="174"/>
      <c r="P13" s="3">
        <f>J10/AD$19</f>
        <v>318.37253353989399</v>
      </c>
      <c r="S13" s="207" t="s">
        <v>288</v>
      </c>
      <c r="T13" s="208"/>
      <c r="U13" s="208"/>
      <c r="V13" s="208"/>
      <c r="W13" s="209"/>
      <c r="X13" s="80">
        <v>0.5</v>
      </c>
      <c r="Y13" s="80">
        <v>0.2</v>
      </c>
      <c r="Z13" s="80">
        <v>0</v>
      </c>
      <c r="AC13" s="90"/>
      <c r="AD13" s="91"/>
      <c r="AE13" s="91"/>
      <c r="AF13" s="91"/>
      <c r="AG13" s="91"/>
      <c r="AH13" s="92"/>
      <c r="AK13" s="214" t="s">
        <v>289</v>
      </c>
      <c r="AL13" s="216"/>
      <c r="AM13" s="215"/>
      <c r="AN13" s="69"/>
    </row>
    <row r="14" spans="2:46" ht="15" customHeight="1" x14ac:dyDescent="0.25">
      <c r="B14" s="74"/>
      <c r="C14" s="74"/>
      <c r="D14" s="70" t="s">
        <v>98</v>
      </c>
      <c r="E14" s="70" t="s">
        <v>99</v>
      </c>
      <c r="F14" s="70" t="s">
        <v>100</v>
      </c>
      <c r="G14" s="70" t="s">
        <v>101</v>
      </c>
      <c r="H14" s="70" t="s">
        <v>102</v>
      </c>
      <c r="I14" s="70" t="s">
        <v>259</v>
      </c>
      <c r="J14" s="70" t="s">
        <v>260</v>
      </c>
      <c r="S14" s="207" t="s">
        <v>290</v>
      </c>
      <c r="T14" s="208"/>
      <c r="U14" s="208"/>
      <c r="V14" s="208"/>
      <c r="W14" s="209"/>
      <c r="X14" s="80">
        <v>0.7</v>
      </c>
      <c r="Y14" s="80">
        <v>0.5</v>
      </c>
      <c r="Z14" s="80">
        <v>0.2</v>
      </c>
      <c r="AC14" s="204" t="s">
        <v>291</v>
      </c>
      <c r="AD14" s="205"/>
      <c r="AE14" s="205"/>
      <c r="AF14" s="205"/>
      <c r="AG14" s="206"/>
      <c r="AH14" s="95">
        <f>AE25*AG19*AH10*9.81</f>
        <v>1433.6353762503065</v>
      </c>
      <c r="AK14" s="198" t="s">
        <v>292</v>
      </c>
      <c r="AL14" s="199"/>
      <c r="AM14" s="86">
        <v>3558.1669999999999</v>
      </c>
    </row>
    <row r="15" spans="2:46" ht="17.25" x14ac:dyDescent="0.25">
      <c r="B15" s="198" t="s">
        <v>293</v>
      </c>
      <c r="C15" s="199"/>
      <c r="D15" s="5">
        <f>D3</f>
        <v>3.8279500000000004</v>
      </c>
      <c r="E15" s="5">
        <v>1.6</v>
      </c>
      <c r="F15" s="5">
        <f>2</f>
        <v>2</v>
      </c>
      <c r="G15" s="5">
        <f>D15+E15+F15*Z4</f>
        <v>6.0279500000000006</v>
      </c>
      <c r="H15" s="76">
        <f>'[2] PIL del 4° 5° impalcato'!AI7</f>
        <v>10.056335000000001</v>
      </c>
      <c r="I15" s="3">
        <f>Q6</f>
        <v>254.38840000000002</v>
      </c>
      <c r="J15" s="3">
        <f t="shared" ref="J15:J21" si="5">G15*I15</f>
        <v>1533.4405557800003</v>
      </c>
      <c r="S15" s="207" t="s">
        <v>25</v>
      </c>
      <c r="T15" s="208"/>
      <c r="U15" s="208"/>
      <c r="V15" s="208"/>
      <c r="W15" s="209"/>
      <c r="X15" s="80">
        <v>0.6</v>
      </c>
      <c r="Y15" s="80">
        <v>0.5</v>
      </c>
      <c r="Z15" s="80">
        <v>0</v>
      </c>
      <c r="AK15" s="198" t="s">
        <v>294</v>
      </c>
      <c r="AL15" s="199"/>
      <c r="AM15" s="86">
        <v>12709.801600000001</v>
      </c>
      <c r="AO15" s="223" t="s">
        <v>295</v>
      </c>
      <c r="AP15" s="224"/>
    </row>
    <row r="16" spans="2:46" ht="17.25" x14ac:dyDescent="0.25">
      <c r="B16" s="202" t="s">
        <v>271</v>
      </c>
      <c r="C16" s="203"/>
      <c r="D16" s="5">
        <f>D4</f>
        <v>3.5079500000000001</v>
      </c>
      <c r="E16" s="5"/>
      <c r="F16" s="5">
        <v>4</v>
      </c>
      <c r="G16" s="5">
        <f>D16+F16*Z6</f>
        <v>5.9079499999999996</v>
      </c>
      <c r="H16" s="76">
        <f>'[2] PIL del 4° 5° impalcato'!AI9</f>
        <v>10.560335</v>
      </c>
      <c r="I16" s="82">
        <f>Q5</f>
        <v>18.899999999999999</v>
      </c>
      <c r="J16" s="3">
        <f t="shared" si="5"/>
        <v>111.66025499999998</v>
      </c>
      <c r="AC16" s="70" t="s">
        <v>49</v>
      </c>
      <c r="AD16" s="96">
        <f>'[2]Dati (CD"A")'!F10</f>
        <v>0.22</v>
      </c>
      <c r="AF16" s="191" t="s">
        <v>296</v>
      </c>
      <c r="AG16" s="193"/>
      <c r="AH16" s="97">
        <f>AG18*AH12^(3/4)</f>
        <v>0.7013114556897867</v>
      </c>
      <c r="AK16" s="198" t="s">
        <v>297</v>
      </c>
      <c r="AL16" s="199"/>
      <c r="AM16" s="11">
        <f>AF6</f>
        <v>254.38840000000002</v>
      </c>
      <c r="AO16" s="73" t="s">
        <v>298</v>
      </c>
      <c r="AP16" s="86">
        <f>((AM14+AM15)/AM16)^0.5</f>
        <v>7.9968327093639742</v>
      </c>
    </row>
    <row r="17" spans="2:47" x14ac:dyDescent="0.25">
      <c r="B17" s="202" t="s">
        <v>103</v>
      </c>
      <c r="C17" s="203"/>
      <c r="D17" s="5">
        <f>D5</f>
        <v>8.6467122681440394</v>
      </c>
      <c r="E17" s="5"/>
      <c r="F17" s="5">
        <v>4</v>
      </c>
      <c r="G17" s="5">
        <f>D$5+'[3]Analisi Carichi F.O.'!V$7*F$5</f>
        <v>11.04671226814404</v>
      </c>
      <c r="H17" s="76">
        <f>'[2] PIL del 4° 5° impalcato'!AI10</f>
        <v>17.240725948587251</v>
      </c>
      <c r="I17" s="82">
        <f>Q3</f>
        <v>9.7200000000000006</v>
      </c>
      <c r="J17" s="3">
        <f t="shared" si="5"/>
        <v>107.37404324636007</v>
      </c>
      <c r="R17" s="69"/>
      <c r="S17" s="225" t="s">
        <v>77</v>
      </c>
      <c r="T17" s="226"/>
      <c r="U17" s="226"/>
      <c r="V17" s="226"/>
      <c r="W17" s="226"/>
      <c r="X17" s="226"/>
      <c r="Y17" s="226"/>
      <c r="Z17" s="226"/>
      <c r="AA17" s="227"/>
      <c r="AC17" s="70" t="s">
        <v>50</v>
      </c>
      <c r="AD17" s="96">
        <f>'[2]Dati (CD"A")'!G10</f>
        <v>2.54</v>
      </c>
    </row>
    <row r="18" spans="2:47" x14ac:dyDescent="0.25">
      <c r="B18" s="202" t="s">
        <v>104</v>
      </c>
      <c r="C18" s="203"/>
      <c r="D18" s="5">
        <f>D6</f>
        <v>6</v>
      </c>
      <c r="E18" s="58"/>
      <c r="F18" s="58"/>
      <c r="G18" s="5">
        <f>D18</f>
        <v>6</v>
      </c>
      <c r="H18" s="76">
        <f>'[2] PIL del 4° 5° impalcato'!AI11</f>
        <v>7.8000000000000007</v>
      </c>
      <c r="I18" s="82">
        <f>Q8</f>
        <v>102.5</v>
      </c>
      <c r="J18" s="3">
        <f t="shared" si="5"/>
        <v>615</v>
      </c>
      <c r="K18" s="88"/>
      <c r="L18" s="88"/>
      <c r="R18" s="69"/>
      <c r="S18" s="198" t="s">
        <v>79</v>
      </c>
      <c r="T18" s="222"/>
      <c r="U18" s="222"/>
      <c r="V18" s="222"/>
      <c r="W18" s="222"/>
      <c r="X18" s="222"/>
      <c r="Y18" s="199"/>
      <c r="Z18" s="71" t="s">
        <v>80</v>
      </c>
      <c r="AA18" s="71" t="s">
        <v>81</v>
      </c>
      <c r="AC18" s="70" t="s">
        <v>51</v>
      </c>
      <c r="AD18" s="98">
        <f>'[2]Dati (CD"A")'!H10</f>
        <v>0.32300000000000001</v>
      </c>
      <c r="AF18" s="72" t="s">
        <v>53</v>
      </c>
      <c r="AG18" s="99">
        <v>7.4999999999999997E-2</v>
      </c>
      <c r="AK18" s="214" t="s">
        <v>299</v>
      </c>
      <c r="AL18" s="216"/>
      <c r="AM18" s="215"/>
      <c r="AN18" s="60"/>
      <c r="AO18" s="60"/>
      <c r="AR18" t="s">
        <v>300</v>
      </c>
    </row>
    <row r="19" spans="2:47" ht="17.25" x14ac:dyDescent="0.25">
      <c r="B19" s="202" t="s">
        <v>301</v>
      </c>
      <c r="C19" s="203"/>
      <c r="D19" s="5">
        <f>'[2] PIL del 4° 5° impalcato'!AC12</f>
        <v>3.66</v>
      </c>
      <c r="E19" s="58"/>
      <c r="F19" s="58"/>
      <c r="G19" s="58">
        <f>D19</f>
        <v>3.66</v>
      </c>
      <c r="H19" s="76">
        <f>'[2] PIL del 4° 5° impalcato'!AI12</f>
        <v>4.758</v>
      </c>
      <c r="I19" s="60">
        <f>5.44*2+4.16*3+4.5*3+4.94*3+4.46+5.25+4.65*2+4.85*3+5.15+5.44*2+5.05+4.95</f>
        <v>111.27</v>
      </c>
      <c r="J19" s="3">
        <f t="shared" si="5"/>
        <v>407.2482</v>
      </c>
      <c r="K19" s="88"/>
      <c r="L19" s="88"/>
      <c r="S19" s="179" t="s">
        <v>302</v>
      </c>
      <c r="T19" s="180"/>
      <c r="U19" s="180"/>
      <c r="V19" s="180"/>
      <c r="W19" s="180"/>
      <c r="X19" s="180"/>
      <c r="Y19" s="181"/>
      <c r="Z19" s="100" t="s">
        <v>84</v>
      </c>
      <c r="AA19" s="100" t="s">
        <v>85</v>
      </c>
      <c r="AC19" s="70" t="s">
        <v>52</v>
      </c>
      <c r="AD19" s="101">
        <v>9.81</v>
      </c>
      <c r="AF19" s="72" t="s">
        <v>65</v>
      </c>
      <c r="AG19" s="99">
        <v>9.1999999999999998E-2</v>
      </c>
      <c r="AK19" s="198" t="s">
        <v>292</v>
      </c>
      <c r="AL19" s="199"/>
      <c r="AM19" s="86">
        <v>5043.7687999999998</v>
      </c>
      <c r="AN19" s="60"/>
    </row>
    <row r="20" spans="2:47" ht="17.25" x14ac:dyDescent="0.25">
      <c r="B20" s="202" t="s">
        <v>281</v>
      </c>
      <c r="C20" s="203"/>
      <c r="D20" s="5">
        <f>'[2] PIL del 4° 5° impalcato'!AC13</f>
        <v>0.81000000000000016</v>
      </c>
      <c r="E20" s="58"/>
      <c r="F20" s="58"/>
      <c r="G20" s="5">
        <f>D20</f>
        <v>0.81000000000000016</v>
      </c>
      <c r="H20" s="76">
        <f>'[2] PIL del 4° 5° impalcato'!AI13</f>
        <v>1.2150000000000003</v>
      </c>
      <c r="I20" s="58">
        <f>5.05*2+5.15*2</f>
        <v>20.399999999999999</v>
      </c>
      <c r="J20" s="3">
        <f t="shared" si="5"/>
        <v>16.524000000000001</v>
      </c>
      <c r="K20" s="88"/>
      <c r="L20" s="88"/>
      <c r="S20" s="167" t="s">
        <v>87</v>
      </c>
      <c r="T20" s="228"/>
      <c r="U20" s="228"/>
      <c r="V20" s="228"/>
      <c r="W20" s="228"/>
      <c r="X20" s="228"/>
      <c r="Y20" s="168"/>
      <c r="Z20" s="61" t="s">
        <v>88</v>
      </c>
      <c r="AA20" s="4">
        <v>3</v>
      </c>
      <c r="AK20" s="198" t="s">
        <v>294</v>
      </c>
      <c r="AL20" s="199"/>
      <c r="AM20" s="86">
        <v>16747.803</v>
      </c>
      <c r="AN20" s="60"/>
      <c r="AO20" s="223" t="s">
        <v>295</v>
      </c>
      <c r="AP20" s="224"/>
    </row>
    <row r="21" spans="2:47" ht="17.25" x14ac:dyDescent="0.25">
      <c r="B21" s="202" t="s">
        <v>283</v>
      </c>
      <c r="C21" s="203"/>
      <c r="D21" s="5">
        <f>'[2] PIL del 4° 5° impalcato'!AC14</f>
        <v>14.069999999999999</v>
      </c>
      <c r="E21" s="58"/>
      <c r="F21" s="58"/>
      <c r="G21" s="58">
        <f>D21</f>
        <v>14.069999999999999</v>
      </c>
      <c r="H21" s="76">
        <f>'[2] PIL del 4° 5° impalcato'!AI14</f>
        <v>18.291</v>
      </c>
      <c r="I21" s="58">
        <v>18</v>
      </c>
      <c r="J21" s="3">
        <f t="shared" si="5"/>
        <v>253.25999999999996</v>
      </c>
      <c r="K21" s="88"/>
      <c r="L21" s="88"/>
      <c r="S21" s="167" t="s">
        <v>90</v>
      </c>
      <c r="T21" s="228"/>
      <c r="U21" s="228"/>
      <c r="V21" s="228"/>
      <c r="W21" s="228"/>
      <c r="X21" s="228"/>
      <c r="Y21" s="168"/>
      <c r="Z21" s="4">
        <v>3</v>
      </c>
      <c r="AA21" s="4">
        <v>2</v>
      </c>
      <c r="AC21" s="198" t="s">
        <v>303</v>
      </c>
      <c r="AD21" s="222"/>
      <c r="AE21" s="199"/>
      <c r="AG21" s="225" t="s">
        <v>304</v>
      </c>
      <c r="AH21" s="226"/>
      <c r="AI21" s="227"/>
      <c r="AK21" s="198" t="s">
        <v>297</v>
      </c>
      <c r="AL21" s="199"/>
      <c r="AM21" s="11">
        <v>332.1</v>
      </c>
      <c r="AN21" s="60"/>
      <c r="AO21" s="73" t="s">
        <v>298</v>
      </c>
      <c r="AP21" s="87">
        <f>((AM19+AM20)/AM21)^0.5</f>
        <v>8.1004629590262951</v>
      </c>
    </row>
    <row r="22" spans="2:47" x14ac:dyDescent="0.25">
      <c r="B22" s="217"/>
      <c r="C22" s="217"/>
      <c r="D22" s="217"/>
      <c r="E22" s="217"/>
      <c r="F22" s="217"/>
      <c r="G22" s="217"/>
      <c r="H22" s="217"/>
      <c r="I22" s="218"/>
      <c r="J22" s="89">
        <f>SUM(J15:J21)</f>
        <v>3044.50705402636</v>
      </c>
      <c r="K22" s="94"/>
      <c r="L22" s="94"/>
      <c r="N22" s="198" t="s">
        <v>305</v>
      </c>
      <c r="O22" s="222"/>
      <c r="P22" s="199"/>
      <c r="S22" s="167" t="s">
        <v>92</v>
      </c>
      <c r="T22" s="228"/>
      <c r="U22" s="228"/>
      <c r="V22" s="228"/>
      <c r="W22" s="228"/>
      <c r="X22" s="228"/>
      <c r="Y22" s="168"/>
      <c r="Z22" s="4">
        <v>2</v>
      </c>
      <c r="AA22" s="4">
        <v>1.5</v>
      </c>
      <c r="AC22" s="179" t="s">
        <v>306</v>
      </c>
      <c r="AD22" s="181"/>
      <c r="AE22" s="5">
        <f>AE23*AI23</f>
        <v>5.8500000000000005</v>
      </c>
      <c r="AG22" s="204" t="s">
        <v>307</v>
      </c>
      <c r="AH22" s="206"/>
      <c r="AI22" s="102"/>
    </row>
    <row r="23" spans="2:47" x14ac:dyDescent="0.25">
      <c r="N23" s="172" t="s">
        <v>268</v>
      </c>
      <c r="O23" s="174"/>
      <c r="P23" s="3">
        <f>J22/(I15+I16)</f>
        <v>11.140271793557135</v>
      </c>
      <c r="AC23" s="179" t="s">
        <v>71</v>
      </c>
      <c r="AD23" s="181"/>
      <c r="AE23" s="58">
        <f>4.5*Z27</f>
        <v>5.8500000000000005</v>
      </c>
      <c r="AG23" s="167" t="s">
        <v>75</v>
      </c>
      <c r="AH23" s="168"/>
      <c r="AI23" s="102">
        <v>1</v>
      </c>
      <c r="AK23" s="229" t="s">
        <v>299</v>
      </c>
      <c r="AL23" s="229"/>
      <c r="AM23" s="229"/>
      <c r="AN23" s="229"/>
      <c r="AO23" s="229"/>
      <c r="AQ23" s="229" t="s">
        <v>289</v>
      </c>
      <c r="AR23" s="229"/>
      <c r="AS23" s="229"/>
      <c r="AT23" s="229"/>
      <c r="AU23" s="229"/>
    </row>
    <row r="24" spans="2:47" x14ac:dyDescent="0.25">
      <c r="K24" s="88"/>
      <c r="L24" s="88"/>
      <c r="N24" s="172" t="s">
        <v>267</v>
      </c>
      <c r="O24" s="174"/>
      <c r="P24" s="3">
        <f>J22/AD$19</f>
        <v>310.3473041820958</v>
      </c>
      <c r="S24" s="225" t="s">
        <v>78</v>
      </c>
      <c r="T24" s="226"/>
      <c r="U24" s="226"/>
      <c r="V24" s="226"/>
      <c r="W24" s="226"/>
      <c r="X24" s="226"/>
      <c r="Y24" s="226"/>
      <c r="Z24" s="227"/>
      <c r="AG24" s="167" t="s">
        <v>76</v>
      </c>
      <c r="AH24" s="168"/>
      <c r="AI24" s="103">
        <v>0.8</v>
      </c>
      <c r="AK24" s="229" t="s">
        <v>308</v>
      </c>
      <c r="AL24" s="229"/>
      <c r="AM24" s="229"/>
      <c r="AN24" s="229"/>
      <c r="AO24" s="229"/>
      <c r="AQ24" s="104" t="s">
        <v>308</v>
      </c>
      <c r="AR24" s="104"/>
      <c r="AS24" s="104"/>
      <c r="AT24" s="104"/>
      <c r="AU24" s="104"/>
    </row>
    <row r="25" spans="2:47" x14ac:dyDescent="0.25">
      <c r="K25" s="88"/>
      <c r="L25" s="88"/>
      <c r="S25" s="167" t="s">
        <v>82</v>
      </c>
      <c r="T25" s="228"/>
      <c r="U25" s="228"/>
      <c r="V25" s="228"/>
      <c r="W25" s="228"/>
      <c r="X25" s="228"/>
      <c r="Y25" s="168"/>
      <c r="Z25" s="61">
        <v>1.1000000000000001</v>
      </c>
      <c r="AC25" s="105" t="s">
        <v>309</v>
      </c>
      <c r="AD25" s="106" t="s">
        <v>67</v>
      </c>
      <c r="AE25" s="107">
        <v>0.85</v>
      </c>
      <c r="AK25" s="108" t="s">
        <v>310</v>
      </c>
      <c r="AL25" s="108"/>
      <c r="AM25" s="108"/>
      <c r="AN25" s="108"/>
      <c r="AO25" s="108"/>
      <c r="AQ25" s="104" t="s">
        <v>311</v>
      </c>
      <c r="AR25" s="104"/>
      <c r="AS25" s="104"/>
      <c r="AT25" s="104"/>
      <c r="AU25" s="104"/>
    </row>
    <row r="26" spans="2:47" x14ac:dyDescent="0.25">
      <c r="B26" s="109"/>
      <c r="C26" s="110"/>
      <c r="D26" s="70" t="s">
        <v>98</v>
      </c>
      <c r="E26" s="70" t="s">
        <v>99</v>
      </c>
      <c r="F26" s="70" t="s">
        <v>100</v>
      </c>
      <c r="G26" s="70" t="s">
        <v>101</v>
      </c>
      <c r="H26" s="111" t="s">
        <v>102</v>
      </c>
      <c r="I26" s="70" t="s">
        <v>259</v>
      </c>
      <c r="J26" s="70" t="s">
        <v>260</v>
      </c>
      <c r="K26" s="88"/>
      <c r="L26" s="88"/>
      <c r="S26" s="167" t="s">
        <v>86</v>
      </c>
      <c r="T26" s="228"/>
      <c r="U26" s="228"/>
      <c r="V26" s="228"/>
      <c r="W26" s="228"/>
      <c r="X26" s="228"/>
      <c r="Y26" s="168"/>
      <c r="Z26" s="4">
        <v>1.2</v>
      </c>
      <c r="AK26" s="229" t="s">
        <v>312</v>
      </c>
      <c r="AL26" s="229"/>
      <c r="AM26" s="229"/>
      <c r="AN26" s="229"/>
      <c r="AO26" s="229"/>
      <c r="AQ26" s="104" t="s">
        <v>313</v>
      </c>
      <c r="AR26" s="104"/>
      <c r="AS26" s="104"/>
      <c r="AT26" s="104"/>
      <c r="AU26" s="104"/>
    </row>
    <row r="27" spans="2:47" x14ac:dyDescent="0.25">
      <c r="B27" s="198" t="s">
        <v>314</v>
      </c>
      <c r="C27" s="199"/>
      <c r="D27" s="5">
        <f>'[2]Carichi unitari'!J9</f>
        <v>3.09795</v>
      </c>
      <c r="E27" s="112"/>
      <c r="F27" s="5">
        <f>0.5</f>
        <v>0.5</v>
      </c>
      <c r="G27" s="5">
        <f>D27+Z11*F27</f>
        <v>3.09795</v>
      </c>
      <c r="H27" s="76">
        <f>'[2] PIL del 1° 2° 3° impalcato'!AI8</f>
        <v>4.7773349999999999</v>
      </c>
      <c r="I27" s="3">
        <f>Q7</f>
        <v>330.6</v>
      </c>
      <c r="J27" s="3">
        <f>G27*I27</f>
        <v>1024.18227</v>
      </c>
      <c r="K27" s="88"/>
      <c r="L27" s="88"/>
      <c r="S27" s="167" t="s">
        <v>89</v>
      </c>
      <c r="T27" s="228"/>
      <c r="U27" s="228"/>
      <c r="V27" s="228"/>
      <c r="W27" s="228"/>
      <c r="X27" s="228"/>
      <c r="Y27" s="168"/>
      <c r="Z27" s="61">
        <v>1.3</v>
      </c>
      <c r="AK27" s="229" t="s">
        <v>315</v>
      </c>
      <c r="AL27" s="229"/>
      <c r="AM27" s="229"/>
      <c r="AN27" s="229"/>
      <c r="AO27" s="229"/>
      <c r="AQ27" s="104" t="s">
        <v>316</v>
      </c>
      <c r="AR27" s="104"/>
      <c r="AS27" s="104"/>
      <c r="AT27" s="104"/>
      <c r="AU27" s="104"/>
    </row>
    <row r="28" spans="2:47" x14ac:dyDescent="0.25">
      <c r="B28" s="202" t="s">
        <v>104</v>
      </c>
      <c r="C28" s="203"/>
      <c r="D28" s="5">
        <f>'[2] PIL del 4° 5° impalcato'!AC11</f>
        <v>6</v>
      </c>
      <c r="E28" s="112"/>
      <c r="F28" s="58"/>
      <c r="G28" s="58">
        <f t="shared" ref="G28:G34" si="6">D28</f>
        <v>6</v>
      </c>
      <c r="H28" s="76">
        <f>'[2] PIL del 4° 5° impalcato'!AI11</f>
        <v>7.8000000000000007</v>
      </c>
      <c r="I28" s="82">
        <f>(Q8/2)+2.6</f>
        <v>53.85</v>
      </c>
      <c r="J28" s="3">
        <f t="shared" ref="J28:J34" si="7">G28*I28</f>
        <v>323.10000000000002</v>
      </c>
      <c r="K28" s="88"/>
      <c r="L28" s="88"/>
      <c r="S28" s="230" t="s">
        <v>91</v>
      </c>
      <c r="T28" s="231"/>
      <c r="U28" s="231"/>
      <c r="V28" s="231"/>
      <c r="W28" s="231"/>
      <c r="X28" s="231"/>
      <c r="Y28" s="232"/>
      <c r="Z28" s="113"/>
      <c r="AK28" s="229" t="s">
        <v>317</v>
      </c>
      <c r="AL28" s="229"/>
      <c r="AM28" s="229"/>
      <c r="AN28" s="229"/>
      <c r="AO28" s="229"/>
      <c r="AQ28" s="104" t="s">
        <v>318</v>
      </c>
      <c r="AR28" s="104"/>
      <c r="AS28" s="104"/>
      <c r="AT28" s="104"/>
      <c r="AU28" s="104"/>
    </row>
    <row r="29" spans="2:47" x14ac:dyDescent="0.25">
      <c r="B29" s="202" t="s">
        <v>301</v>
      </c>
      <c r="C29" s="203"/>
      <c r="D29" s="5">
        <f>'[2] PIL del 4° 5° impalcato'!AC12</f>
        <v>3.66</v>
      </c>
      <c r="E29" s="112"/>
      <c r="F29" s="58"/>
      <c r="G29" s="5">
        <f t="shared" si="6"/>
        <v>3.66</v>
      </c>
      <c r="H29" s="76">
        <f>'[2] PIL del 4° 5° impalcato'!AI12</f>
        <v>4.758</v>
      </c>
      <c r="I29" s="82">
        <f>I7</f>
        <v>111.27</v>
      </c>
      <c r="J29" s="3">
        <f t="shared" si="7"/>
        <v>407.2482</v>
      </c>
      <c r="K29" s="88"/>
      <c r="L29" s="88"/>
      <c r="S29" s="233" t="s">
        <v>93</v>
      </c>
      <c r="T29" s="234"/>
      <c r="U29" s="234"/>
      <c r="V29" s="234"/>
      <c r="W29" s="234"/>
      <c r="X29" s="234"/>
      <c r="Y29" s="235"/>
      <c r="Z29" s="114">
        <v>1</v>
      </c>
      <c r="AK29" s="229" t="s">
        <v>319</v>
      </c>
      <c r="AL29" s="229"/>
      <c r="AM29" s="229"/>
      <c r="AN29" s="229"/>
      <c r="AO29" s="229"/>
      <c r="AQ29" s="104" t="s">
        <v>320</v>
      </c>
      <c r="AR29" s="104"/>
      <c r="AS29" s="104"/>
      <c r="AT29" s="104"/>
      <c r="AU29" s="104"/>
    </row>
    <row r="30" spans="2:47" x14ac:dyDescent="0.25">
      <c r="B30" s="202" t="s">
        <v>281</v>
      </c>
      <c r="C30" s="203"/>
      <c r="D30" s="5">
        <f>'[2] PIL del 4° 5° impalcato'!AC13</f>
        <v>0.81000000000000016</v>
      </c>
      <c r="E30" s="112"/>
      <c r="F30" s="58"/>
      <c r="G30" s="5">
        <f t="shared" si="6"/>
        <v>0.81000000000000016</v>
      </c>
      <c r="H30" s="76">
        <f>'[2] PIL del 4° 5° impalcato'!AI13</f>
        <v>1.2150000000000003</v>
      </c>
      <c r="I30" s="82">
        <f>I8</f>
        <v>20.399999999999999</v>
      </c>
      <c r="J30" s="3">
        <f t="shared" si="7"/>
        <v>16.524000000000001</v>
      </c>
      <c r="K30" s="88"/>
      <c r="L30" s="88"/>
      <c r="S30" s="167" t="s">
        <v>94</v>
      </c>
      <c r="T30" s="228"/>
      <c r="U30" s="228"/>
      <c r="V30" s="228"/>
      <c r="W30" s="228"/>
      <c r="X30" s="228"/>
      <c r="Y30" s="168"/>
      <c r="Z30" s="4">
        <v>1.1000000000000001</v>
      </c>
      <c r="AK30" s="229" t="s">
        <v>321</v>
      </c>
      <c r="AL30" s="229"/>
      <c r="AM30" s="229"/>
      <c r="AN30" s="229"/>
      <c r="AO30" s="229"/>
      <c r="AQ30" s="104" t="s">
        <v>322</v>
      </c>
      <c r="AR30" s="104"/>
      <c r="AS30" s="104"/>
      <c r="AT30" s="104"/>
      <c r="AU30" s="104"/>
    </row>
    <row r="31" spans="2:47" x14ac:dyDescent="0.25">
      <c r="B31" s="202" t="s">
        <v>323</v>
      </c>
      <c r="C31" s="203"/>
      <c r="D31" s="5">
        <f>0.3*0.75*1*25</f>
        <v>5.6249999999999991</v>
      </c>
      <c r="E31" s="112"/>
      <c r="F31" s="58"/>
      <c r="G31" s="5">
        <f t="shared" si="6"/>
        <v>5.6249999999999991</v>
      </c>
      <c r="H31" s="76">
        <f>G31*'[2] PIL del 4° 5° impalcato'!AJ22</f>
        <v>7.3124999999999991</v>
      </c>
      <c r="I31" s="82">
        <f>24.6*2</f>
        <v>49.2</v>
      </c>
      <c r="J31" s="3">
        <f>I31*H31</f>
        <v>359.77499999999998</v>
      </c>
      <c r="K31" s="88"/>
      <c r="L31" s="88"/>
      <c r="S31" s="167" t="s">
        <v>95</v>
      </c>
      <c r="T31" s="228"/>
      <c r="U31" s="228"/>
      <c r="V31" s="228"/>
      <c r="W31" s="228"/>
      <c r="X31" s="228"/>
      <c r="Y31" s="168"/>
      <c r="Z31" s="4">
        <v>1.2</v>
      </c>
      <c r="AK31" s="229" t="s">
        <v>324</v>
      </c>
      <c r="AL31" s="229"/>
      <c r="AM31" s="229"/>
      <c r="AN31" s="229"/>
      <c r="AO31" s="229"/>
      <c r="AQ31" s="104" t="s">
        <v>325</v>
      </c>
      <c r="AR31" s="104"/>
      <c r="AS31" s="104"/>
      <c r="AT31" s="104"/>
      <c r="AU31" s="104"/>
    </row>
    <row r="32" spans="2:47" x14ac:dyDescent="0.25">
      <c r="B32" s="202" t="s">
        <v>326</v>
      </c>
      <c r="C32" s="203"/>
      <c r="D32" s="5">
        <f>0.3*0.4*1*25</f>
        <v>3</v>
      </c>
      <c r="E32" s="112"/>
      <c r="F32" s="58"/>
      <c r="G32" s="5">
        <f t="shared" si="6"/>
        <v>3</v>
      </c>
      <c r="H32" s="76">
        <f>G32*'[2] PIL del 4° 5° impalcato'!AJ22</f>
        <v>3.9000000000000004</v>
      </c>
      <c r="I32" s="82">
        <f>5.25+4.15+4.5+4.94+4.65</f>
        <v>23.490000000000002</v>
      </c>
      <c r="J32" s="3">
        <f>I32*H32</f>
        <v>91.611000000000018</v>
      </c>
      <c r="K32" s="88"/>
      <c r="L32" s="88"/>
      <c r="AK32" s="229" t="s">
        <v>327</v>
      </c>
      <c r="AL32" s="229"/>
      <c r="AM32" s="229"/>
      <c r="AN32" s="229"/>
      <c r="AO32" s="229"/>
      <c r="AQ32" s="104" t="s">
        <v>328</v>
      </c>
      <c r="AR32" s="104"/>
      <c r="AS32" s="104"/>
      <c r="AT32" s="104"/>
      <c r="AU32" s="104"/>
    </row>
    <row r="33" spans="2:47" x14ac:dyDescent="0.25">
      <c r="B33" s="202" t="s">
        <v>329</v>
      </c>
      <c r="C33" s="203"/>
      <c r="D33" s="5">
        <f>'[2] PIL del 4° 5° impalcato'!AC14</f>
        <v>14.069999999999999</v>
      </c>
      <c r="E33" s="112"/>
      <c r="F33" s="58"/>
      <c r="G33" s="58">
        <f t="shared" si="6"/>
        <v>14.069999999999999</v>
      </c>
      <c r="H33" s="76">
        <f>'[2] PIL del 4° 5° impalcato'!AI14</f>
        <v>18.291</v>
      </c>
      <c r="I33" s="58">
        <f>18/2</f>
        <v>9</v>
      </c>
      <c r="J33" s="3">
        <f t="shared" si="7"/>
        <v>126.62999999999998</v>
      </c>
      <c r="K33" s="88"/>
      <c r="L33" s="88"/>
      <c r="N33" s="198" t="s">
        <v>106</v>
      </c>
      <c r="O33" s="222"/>
      <c r="P33" s="199"/>
      <c r="AK33" s="229" t="s">
        <v>330</v>
      </c>
      <c r="AL33" s="229"/>
      <c r="AM33" s="229"/>
      <c r="AN33" s="229"/>
      <c r="AO33" s="229"/>
      <c r="AQ33" s="104" t="s">
        <v>331</v>
      </c>
      <c r="AR33" s="104"/>
      <c r="AS33" s="104"/>
      <c r="AT33" s="104"/>
      <c r="AU33" s="104"/>
    </row>
    <row r="34" spans="2:47" x14ac:dyDescent="0.25">
      <c r="B34" s="202" t="s">
        <v>332</v>
      </c>
      <c r="C34" s="203"/>
      <c r="D34" s="5">
        <f>0.3*0.3*1.27*25</f>
        <v>2.8574999999999999</v>
      </c>
      <c r="E34" s="112"/>
      <c r="F34" s="58"/>
      <c r="G34" s="5">
        <f t="shared" si="6"/>
        <v>2.8574999999999999</v>
      </c>
      <c r="H34" s="76">
        <f>G34*'[2] PIL del 4° 5° impalcato'!AJ22</f>
        <v>3.71475</v>
      </c>
      <c r="I34" s="58">
        <v>6</v>
      </c>
      <c r="J34" s="3">
        <f t="shared" si="7"/>
        <v>17.145</v>
      </c>
      <c r="K34" s="88"/>
      <c r="L34" s="88"/>
      <c r="N34" s="172" t="s">
        <v>268</v>
      </c>
      <c r="O34" s="174"/>
      <c r="P34" s="3">
        <f>J35/I27</f>
        <v>7.1573365698729576</v>
      </c>
      <c r="AK34" s="229" t="s">
        <v>333</v>
      </c>
      <c r="AL34" s="229"/>
      <c r="AM34" s="229"/>
      <c r="AN34" s="229"/>
      <c r="AO34" s="229"/>
      <c r="AQ34" s="104" t="s">
        <v>334</v>
      </c>
      <c r="AR34" s="104"/>
      <c r="AS34" s="104"/>
      <c r="AT34" s="104"/>
      <c r="AU34" s="104"/>
    </row>
    <row r="35" spans="2:47" x14ac:dyDescent="0.25">
      <c r="F35" s="115"/>
      <c r="G35" s="115"/>
      <c r="H35" s="115"/>
      <c r="I35" s="115"/>
      <c r="J35" s="89">
        <f>SUM(J27:J34)</f>
        <v>2366.2154700000001</v>
      </c>
      <c r="K35" s="94"/>
      <c r="L35" s="94"/>
      <c r="N35" s="172" t="s">
        <v>267</v>
      </c>
      <c r="O35" s="174"/>
      <c r="P35" s="3">
        <f>J35/AD19</f>
        <v>241.20443119266054</v>
      </c>
      <c r="AK35" s="229" t="s">
        <v>335</v>
      </c>
      <c r="AL35" s="229"/>
      <c r="AM35" s="229"/>
      <c r="AN35" s="229"/>
      <c r="AO35" s="229"/>
      <c r="AQ35" s="104" t="s">
        <v>336</v>
      </c>
      <c r="AR35" s="104"/>
      <c r="AS35" s="104"/>
      <c r="AT35" s="104"/>
      <c r="AU35" s="104"/>
    </row>
    <row r="36" spans="2:47" x14ac:dyDescent="0.25">
      <c r="AA36" s="116"/>
      <c r="AK36" s="229" t="s">
        <v>337</v>
      </c>
      <c r="AL36" s="229"/>
      <c r="AM36" s="229"/>
      <c r="AN36" s="229"/>
      <c r="AO36" s="229"/>
      <c r="AQ36" s="104" t="s">
        <v>337</v>
      </c>
      <c r="AR36" s="104"/>
      <c r="AS36" s="104"/>
      <c r="AT36" s="104"/>
      <c r="AU36" s="104"/>
    </row>
    <row r="37" spans="2:47" x14ac:dyDescent="0.25">
      <c r="B37" s="198" t="s">
        <v>275</v>
      </c>
      <c r="C37" s="222"/>
      <c r="D37" s="199"/>
      <c r="E37" s="70" t="s">
        <v>338</v>
      </c>
      <c r="F37" s="70" t="s">
        <v>259</v>
      </c>
      <c r="G37" s="70" t="s">
        <v>260</v>
      </c>
      <c r="AA37" s="116"/>
      <c r="AK37" s="229" t="s">
        <v>339</v>
      </c>
      <c r="AL37" s="229"/>
      <c r="AM37" s="229"/>
      <c r="AN37" s="229"/>
      <c r="AO37" s="229"/>
      <c r="AQ37" s="104" t="s">
        <v>340</v>
      </c>
      <c r="AR37" s="104"/>
      <c r="AS37" s="104"/>
      <c r="AT37" s="104"/>
      <c r="AU37" s="104"/>
    </row>
    <row r="38" spans="2:47" x14ac:dyDescent="0.25">
      <c r="B38" s="202" t="s">
        <v>341</v>
      </c>
      <c r="C38" s="236"/>
      <c r="D38" s="203"/>
      <c r="E38" s="5">
        <f>0.16*0.24*E49/0.5</f>
        <v>0.46079999999999999</v>
      </c>
      <c r="F38" s="117">
        <f t="shared" ref="F38:F43" si="8">Q$7</f>
        <v>330.6</v>
      </c>
      <c r="G38" s="3">
        <f>F38*E38</f>
        <v>152.34048000000001</v>
      </c>
      <c r="N38" s="198" t="s">
        <v>342</v>
      </c>
      <c r="O38" s="222"/>
      <c r="P38" s="199"/>
      <c r="AA38" s="116"/>
      <c r="AK38" s="229" t="s">
        <v>343</v>
      </c>
      <c r="AL38" s="229"/>
      <c r="AM38" s="229"/>
      <c r="AN38" s="229"/>
      <c r="AO38" s="229"/>
      <c r="AQ38" s="104" t="s">
        <v>344</v>
      </c>
      <c r="AR38" s="104"/>
      <c r="AS38" s="104"/>
      <c r="AT38" s="104"/>
      <c r="AU38" s="104"/>
    </row>
    <row r="39" spans="2:47" x14ac:dyDescent="0.25">
      <c r="B39" s="202" t="s">
        <v>345</v>
      </c>
      <c r="C39" s="236"/>
      <c r="D39" s="203"/>
      <c r="E39" s="5">
        <f>0.08*0.08*E49/0.5</f>
        <v>7.6800000000000007E-2</v>
      </c>
      <c r="F39" s="117">
        <f t="shared" si="8"/>
        <v>330.6</v>
      </c>
      <c r="G39" s="3">
        <f t="shared" ref="G39:G43" si="9">F39*E39</f>
        <v>25.390080000000005</v>
      </c>
      <c r="N39" s="172" t="s">
        <v>268</v>
      </c>
      <c r="O39" s="174"/>
      <c r="P39" s="3">
        <f>P34+P43</f>
        <v>8.6939365698729567</v>
      </c>
    </row>
    <row r="40" spans="2:47" x14ac:dyDescent="0.25">
      <c r="B40" s="202" t="s">
        <v>346</v>
      </c>
      <c r="C40" s="236"/>
      <c r="D40" s="203"/>
      <c r="E40" s="58">
        <f>0.02*E49</f>
        <v>0.12</v>
      </c>
      <c r="F40" s="117">
        <f t="shared" si="8"/>
        <v>330.6</v>
      </c>
      <c r="G40" s="3">
        <f t="shared" si="9"/>
        <v>39.672000000000004</v>
      </c>
      <c r="N40" s="172" t="s">
        <v>267</v>
      </c>
      <c r="O40" s="174"/>
      <c r="P40" s="3">
        <f>P35+P44</f>
        <v>292.9883211009174</v>
      </c>
    </row>
    <row r="41" spans="2:47" x14ac:dyDescent="0.25">
      <c r="B41" s="202" t="s">
        <v>347</v>
      </c>
      <c r="C41" s="236"/>
      <c r="D41" s="203"/>
      <c r="E41" s="5">
        <f>1*1*E46*0.1</f>
        <v>4.9000000000000002E-2</v>
      </c>
      <c r="F41" s="117">
        <f t="shared" si="8"/>
        <v>330.6</v>
      </c>
      <c r="G41" s="3">
        <f t="shared" si="9"/>
        <v>16.199400000000001</v>
      </c>
    </row>
    <row r="42" spans="2:47" x14ac:dyDescent="0.25">
      <c r="B42" s="202" t="s">
        <v>348</v>
      </c>
      <c r="C42" s="236"/>
      <c r="D42" s="203"/>
      <c r="E42" s="58">
        <f>E47</f>
        <v>0.03</v>
      </c>
      <c r="F42" s="117">
        <f t="shared" si="8"/>
        <v>330.6</v>
      </c>
      <c r="G42" s="3">
        <f t="shared" si="9"/>
        <v>9.918000000000001</v>
      </c>
      <c r="N42" s="198" t="s">
        <v>106</v>
      </c>
      <c r="O42" s="222"/>
      <c r="P42" s="199"/>
    </row>
    <row r="43" spans="2:47" x14ac:dyDescent="0.25">
      <c r="B43" s="202" t="s">
        <v>349</v>
      </c>
      <c r="C43" s="236"/>
      <c r="D43" s="203"/>
      <c r="E43" s="5">
        <f>E48</f>
        <v>0.8</v>
      </c>
      <c r="F43" s="117">
        <f t="shared" si="8"/>
        <v>330.6</v>
      </c>
      <c r="G43" s="3">
        <f t="shared" si="9"/>
        <v>264.48</v>
      </c>
      <c r="N43" s="172" t="s">
        <v>268</v>
      </c>
      <c r="O43" s="174"/>
      <c r="P43" s="3">
        <f>G44/F38</f>
        <v>1.5366</v>
      </c>
    </row>
    <row r="44" spans="2:47" x14ac:dyDescent="0.25">
      <c r="B44" s="237"/>
      <c r="C44" s="237"/>
      <c r="D44" s="237"/>
      <c r="G44" s="89">
        <f>SUM(G38:G43)</f>
        <v>507.99996000000004</v>
      </c>
      <c r="N44" s="172" t="s">
        <v>267</v>
      </c>
      <c r="O44" s="174"/>
      <c r="P44" s="3">
        <f>G44/AD19</f>
        <v>51.783889908256882</v>
      </c>
    </row>
    <row r="46" spans="2:47" ht="17.25" x14ac:dyDescent="0.25">
      <c r="B46" s="238" t="s">
        <v>347</v>
      </c>
      <c r="C46" s="238"/>
      <c r="D46" s="238"/>
      <c r="E46" s="58">
        <v>0.49</v>
      </c>
      <c r="F46" s="24" t="s">
        <v>350</v>
      </c>
    </row>
    <row r="47" spans="2:47" ht="17.25" x14ac:dyDescent="0.25">
      <c r="B47" s="238" t="s">
        <v>348</v>
      </c>
      <c r="C47" s="238"/>
      <c r="D47" s="238"/>
      <c r="E47" s="58">
        <v>0.03</v>
      </c>
      <c r="F47" s="24" t="s">
        <v>351</v>
      </c>
    </row>
    <row r="48" spans="2:47" ht="17.25" x14ac:dyDescent="0.25">
      <c r="B48" s="238" t="s">
        <v>349</v>
      </c>
      <c r="C48" s="238"/>
      <c r="D48" s="238"/>
      <c r="E48" s="5">
        <v>0.8</v>
      </c>
      <c r="F48" s="24" t="s">
        <v>351</v>
      </c>
    </row>
    <row r="49" spans="2:6" ht="17.25" x14ac:dyDescent="0.25">
      <c r="B49" s="238" t="s">
        <v>352</v>
      </c>
      <c r="C49" s="238"/>
      <c r="D49" s="238"/>
      <c r="E49" s="58">
        <v>6</v>
      </c>
      <c r="F49" s="24" t="s">
        <v>353</v>
      </c>
    </row>
    <row r="75" ht="14.25" customHeight="1" x14ac:dyDescent="0.25"/>
    <row r="76" ht="15" customHeight="1" x14ac:dyDescent="0.25"/>
    <row r="77" ht="14.25" customHeight="1" x14ac:dyDescent="0.25"/>
    <row r="111" spans="19:28" x14ac:dyDescent="0.25">
      <c r="S111" s="74"/>
      <c r="T111" s="74"/>
      <c r="U111" s="70" t="s">
        <v>98</v>
      </c>
      <c r="V111" s="70" t="s">
        <v>99</v>
      </c>
      <c r="W111" s="70" t="s">
        <v>100</v>
      </c>
      <c r="X111" s="70" t="s">
        <v>101</v>
      </c>
      <c r="Y111" s="70" t="s">
        <v>102</v>
      </c>
      <c r="Z111" s="70" t="s">
        <v>259</v>
      </c>
      <c r="AA111" s="70"/>
      <c r="AB111" s="70" t="s">
        <v>260</v>
      </c>
    </row>
    <row r="112" spans="19:28" x14ac:dyDescent="0.25">
      <c r="S112" s="198" t="s">
        <v>354</v>
      </c>
      <c r="T112" s="199"/>
      <c r="U112" s="5">
        <f>'[2] PIL del 1° 2° 3° impalcato'!AC$7</f>
        <v>3.8279500000000004</v>
      </c>
      <c r="V112" s="5">
        <v>1.6</v>
      </c>
      <c r="W112" s="5">
        <f>2</f>
        <v>2</v>
      </c>
      <c r="X112" s="5">
        <f>U112+V112+Z$4*W112</f>
        <v>6.0279500000000006</v>
      </c>
      <c r="Y112" s="76">
        <f>'[2] PIL del 1° 2° 3° impalcato'!AI$7</f>
        <v>10.056335000000001</v>
      </c>
      <c r="Z112" s="3">
        <f>Q6</f>
        <v>254.38840000000002</v>
      </c>
      <c r="AA112" s="3"/>
      <c r="AB112" s="3">
        <f t="shared" ref="AB112:AB119" si="10">X112*Z112</f>
        <v>1533.4405557800003</v>
      </c>
    </row>
    <row r="113" spans="19:32" x14ac:dyDescent="0.25">
      <c r="S113" s="202" t="s">
        <v>271</v>
      </c>
      <c r="T113" s="203"/>
      <c r="U113" s="5">
        <f>'[2] PIL del 1° 2° 3° impalcato'!AC$9</f>
        <v>3.5079500000000001</v>
      </c>
      <c r="V113" s="5"/>
      <c r="W113" s="5">
        <v>4</v>
      </c>
      <c r="X113" s="5">
        <f>U113+Z$6*W113</f>
        <v>5.9079499999999996</v>
      </c>
      <c r="Y113" s="76">
        <f>'[2] PIL del 4° 5° impalcato'!AI$9</f>
        <v>10.560335</v>
      </c>
      <c r="Z113" s="82">
        <f>Q5</f>
        <v>18.899999999999999</v>
      </c>
      <c r="AA113" s="82"/>
      <c r="AB113" s="3">
        <f t="shared" si="10"/>
        <v>111.66025499999998</v>
      </c>
    </row>
    <row r="114" spans="19:32" x14ac:dyDescent="0.25">
      <c r="S114" s="202" t="s">
        <v>103</v>
      </c>
      <c r="T114" s="203"/>
      <c r="U114" s="5">
        <f>'[2] PIL del 1° 2° 3° impalcato'!AC$10</f>
        <v>8.6467122681440394</v>
      </c>
      <c r="V114" s="5"/>
      <c r="W114" s="5">
        <v>4</v>
      </c>
      <c r="X114" s="5">
        <f>D$5+Z$6*F$5</f>
        <v>11.04671226814404</v>
      </c>
      <c r="Y114" s="76">
        <f>'[2] PIL del 4° 5° impalcato'!AI$10</f>
        <v>17.240725948587251</v>
      </c>
      <c r="Z114" s="82">
        <f>Q3</f>
        <v>9.7200000000000006</v>
      </c>
      <c r="AA114" s="82"/>
      <c r="AB114" s="3">
        <f t="shared" si="10"/>
        <v>107.37404324636007</v>
      </c>
    </row>
    <row r="115" spans="19:32" x14ac:dyDescent="0.25">
      <c r="S115" s="202" t="s">
        <v>104</v>
      </c>
      <c r="T115" s="203"/>
      <c r="U115" s="5">
        <f>'[2] PIL del 1° 2° 3° impalcato'!AC$11</f>
        <v>6</v>
      </c>
      <c r="V115" s="58"/>
      <c r="W115" s="58"/>
      <c r="X115" s="5">
        <f>U115</f>
        <v>6</v>
      </c>
      <c r="Y115" s="76">
        <f>'[2] PIL del 1° 2° 3° impalcato'!AI$11</f>
        <v>7.8000000000000007</v>
      </c>
      <c r="Z115" s="82">
        <f>Q8</f>
        <v>102.5</v>
      </c>
      <c r="AA115" s="82"/>
      <c r="AB115" s="3">
        <f t="shared" si="10"/>
        <v>615</v>
      </c>
    </row>
    <row r="116" spans="19:32" x14ac:dyDescent="0.25">
      <c r="S116" s="202" t="s">
        <v>301</v>
      </c>
      <c r="T116" s="203"/>
      <c r="U116" s="5">
        <f>D19</f>
        <v>3.66</v>
      </c>
      <c r="V116" s="58"/>
      <c r="W116" s="58"/>
      <c r="X116" s="58">
        <f>U116</f>
        <v>3.66</v>
      </c>
      <c r="Y116" s="76">
        <f>'[2] PIL del 1° 2° 3° impalcato'!AI$12</f>
        <v>5.7330000000000005</v>
      </c>
      <c r="Z116" s="60">
        <f>5.44*2+4.16*3+4.5*3+4.94*3+4.46+5.25+4.65*2+4.85*3+5.15+5.44*2+5.05+4.95</f>
        <v>111.27</v>
      </c>
      <c r="AA116" s="60"/>
      <c r="AB116" s="3">
        <f t="shared" si="10"/>
        <v>407.2482</v>
      </c>
    </row>
    <row r="117" spans="19:32" x14ac:dyDescent="0.25">
      <c r="S117" s="202" t="s">
        <v>281</v>
      </c>
      <c r="T117" s="203"/>
      <c r="U117" s="5">
        <f>'[2] PIL del 1° 2° 3° impalcato'!AC$13</f>
        <v>0.81000000000000016</v>
      </c>
      <c r="V117" s="58"/>
      <c r="W117" s="58"/>
      <c r="X117" s="5">
        <f>U117</f>
        <v>0.81000000000000016</v>
      </c>
      <c r="Y117" s="76">
        <f>'[2] PIL del 1° 2° 3° impalcato'!AI$13</f>
        <v>1.2150000000000003</v>
      </c>
      <c r="Z117" s="58">
        <f>5.05*2+5.15*2</f>
        <v>20.399999999999999</v>
      </c>
      <c r="AA117" s="58"/>
      <c r="AB117" s="3">
        <f t="shared" si="10"/>
        <v>16.524000000000001</v>
      </c>
    </row>
    <row r="118" spans="19:32" x14ac:dyDescent="0.25">
      <c r="S118" s="202" t="s">
        <v>283</v>
      </c>
      <c r="T118" s="203"/>
      <c r="U118" s="5">
        <f>'[2] PIL del 1° 2° 3° impalcato'!AC$14</f>
        <v>13.807499999999997</v>
      </c>
      <c r="V118" s="58"/>
      <c r="W118" s="58"/>
      <c r="X118" s="5">
        <f>U118</f>
        <v>13.807499999999997</v>
      </c>
      <c r="Y118" s="76">
        <f>'[2] PIL del 1° 2° 3° impalcato'!AI$14</f>
        <v>17.949749999999998</v>
      </c>
      <c r="Z118" s="58">
        <v>9</v>
      </c>
      <c r="AA118" s="58"/>
      <c r="AB118" s="3">
        <f t="shared" si="10"/>
        <v>124.26749999999998</v>
      </c>
      <c r="AD118" s="198" t="s">
        <v>355</v>
      </c>
      <c r="AE118" s="222"/>
      <c r="AF118" s="199"/>
    </row>
    <row r="119" spans="19:32" x14ac:dyDescent="0.25">
      <c r="S119" s="202" t="s">
        <v>283</v>
      </c>
      <c r="T119" s="203"/>
      <c r="U119" s="5">
        <f>'[2] PIL del 4° 5° impalcato'!AC14</f>
        <v>14.069999999999999</v>
      </c>
      <c r="V119" s="58"/>
      <c r="W119" s="58"/>
      <c r="X119" s="5">
        <f>'[2] PIL del 4° 5° impalcato'!AF14</f>
        <v>14.069999999999999</v>
      </c>
      <c r="Y119" s="76">
        <f>'[2] PIL del 4° 5° impalcato'!AI14</f>
        <v>18.291</v>
      </c>
      <c r="Z119" s="58">
        <v>9</v>
      </c>
      <c r="AA119" s="58"/>
      <c r="AB119" s="3">
        <f t="shared" si="10"/>
        <v>126.62999999999998</v>
      </c>
      <c r="AD119" s="172" t="s">
        <v>268</v>
      </c>
      <c r="AE119" s="174"/>
      <c r="AF119" s="3">
        <f>AB120/(Z112+Z113)</f>
        <v>11.1316270797676</v>
      </c>
    </row>
    <row r="120" spans="19:32" x14ac:dyDescent="0.25">
      <c r="S120" s="217"/>
      <c r="T120" s="217"/>
      <c r="U120" s="217"/>
      <c r="V120" s="217"/>
      <c r="W120" s="217"/>
      <c r="X120" s="217"/>
      <c r="Y120" s="217"/>
      <c r="Z120" s="218"/>
      <c r="AA120" s="118"/>
      <c r="AB120" s="89">
        <f>SUM(AB112:AB119)</f>
        <v>3042.1445540263603</v>
      </c>
      <c r="AD120" s="172" t="s">
        <v>267</v>
      </c>
      <c r="AE120" s="174"/>
      <c r="AF120" s="3">
        <f>AB120/AD$19</f>
        <v>310.10647849402244</v>
      </c>
    </row>
  </sheetData>
  <mergeCells count="138">
    <mergeCell ref="S120:Z120"/>
    <mergeCell ref="AD120:AE120"/>
    <mergeCell ref="S116:T116"/>
    <mergeCell ref="S117:T117"/>
    <mergeCell ref="S118:T118"/>
    <mergeCell ref="AD118:AF118"/>
    <mergeCell ref="S119:T119"/>
    <mergeCell ref="AD119:AE119"/>
    <mergeCell ref="B48:D48"/>
    <mergeCell ref="B49:D49"/>
    <mergeCell ref="S112:T112"/>
    <mergeCell ref="S113:T113"/>
    <mergeCell ref="S114:T114"/>
    <mergeCell ref="S115:T115"/>
    <mergeCell ref="B43:D43"/>
    <mergeCell ref="N43:O43"/>
    <mergeCell ref="B44:D44"/>
    <mergeCell ref="N44:O44"/>
    <mergeCell ref="B46:D46"/>
    <mergeCell ref="B47:D47"/>
    <mergeCell ref="B39:D39"/>
    <mergeCell ref="N39:O39"/>
    <mergeCell ref="B40:D40"/>
    <mergeCell ref="N40:O40"/>
    <mergeCell ref="B41:D41"/>
    <mergeCell ref="B42:D42"/>
    <mergeCell ref="N42:P42"/>
    <mergeCell ref="N35:O35"/>
    <mergeCell ref="AK35:AO35"/>
    <mergeCell ref="AK36:AO36"/>
    <mergeCell ref="B37:D37"/>
    <mergeCell ref="AK37:AO37"/>
    <mergeCell ref="B38:D38"/>
    <mergeCell ref="N38:P38"/>
    <mergeCell ref="AK38:AO38"/>
    <mergeCell ref="B32:C32"/>
    <mergeCell ref="AK32:AO32"/>
    <mergeCell ref="B33:C33"/>
    <mergeCell ref="N33:P33"/>
    <mergeCell ref="AK33:AO33"/>
    <mergeCell ref="B34:C34"/>
    <mergeCell ref="N34:O34"/>
    <mergeCell ref="AK34:AO34"/>
    <mergeCell ref="B30:C30"/>
    <mergeCell ref="S30:Y30"/>
    <mergeCell ref="AK30:AO30"/>
    <mergeCell ref="B31:C31"/>
    <mergeCell ref="S31:Y31"/>
    <mergeCell ref="AK31:AO31"/>
    <mergeCell ref="B28:C28"/>
    <mergeCell ref="S28:Y28"/>
    <mergeCell ref="AK28:AO28"/>
    <mergeCell ref="B29:C29"/>
    <mergeCell ref="S29:Y29"/>
    <mergeCell ref="AK29:AO29"/>
    <mergeCell ref="S25:Y25"/>
    <mergeCell ref="S26:Y26"/>
    <mergeCell ref="AK26:AO26"/>
    <mergeCell ref="B27:C27"/>
    <mergeCell ref="S27:Y27"/>
    <mergeCell ref="AK27:AO27"/>
    <mergeCell ref="AK23:AO23"/>
    <mergeCell ref="AQ23:AU23"/>
    <mergeCell ref="N24:O24"/>
    <mergeCell ref="S24:Z24"/>
    <mergeCell ref="AG24:AH24"/>
    <mergeCell ref="AK24:AO24"/>
    <mergeCell ref="B22:I22"/>
    <mergeCell ref="N22:P22"/>
    <mergeCell ref="S22:Y22"/>
    <mergeCell ref="AC22:AD22"/>
    <mergeCell ref="AG22:AH22"/>
    <mergeCell ref="N23:O23"/>
    <mergeCell ref="AC23:AD23"/>
    <mergeCell ref="AG23:AH23"/>
    <mergeCell ref="B20:C20"/>
    <mergeCell ref="S20:Y20"/>
    <mergeCell ref="AK20:AL20"/>
    <mergeCell ref="AO20:AP20"/>
    <mergeCell ref="B21:C21"/>
    <mergeCell ref="S21:Y21"/>
    <mergeCell ref="AC21:AE21"/>
    <mergeCell ref="AG21:AI21"/>
    <mergeCell ref="AK21:AL21"/>
    <mergeCell ref="B18:C18"/>
    <mergeCell ref="S18:Y18"/>
    <mergeCell ref="AK18:AM18"/>
    <mergeCell ref="B19:C19"/>
    <mergeCell ref="S19:Y19"/>
    <mergeCell ref="AK19:AL19"/>
    <mergeCell ref="AO15:AP15"/>
    <mergeCell ref="B16:C16"/>
    <mergeCell ref="AF16:AG16"/>
    <mergeCell ref="AK16:AL16"/>
    <mergeCell ref="B17:C17"/>
    <mergeCell ref="S17:AA17"/>
    <mergeCell ref="S14:W14"/>
    <mergeCell ref="AC14:AG14"/>
    <mergeCell ref="AK14:AL14"/>
    <mergeCell ref="B15:C15"/>
    <mergeCell ref="S15:W15"/>
    <mergeCell ref="AK15:AL15"/>
    <mergeCell ref="AL11:AM11"/>
    <mergeCell ref="N12:O12"/>
    <mergeCell ref="S12:W12"/>
    <mergeCell ref="AC12:AG12"/>
    <mergeCell ref="N13:O13"/>
    <mergeCell ref="S13:W13"/>
    <mergeCell ref="AK13:AM13"/>
    <mergeCell ref="B9:C9"/>
    <mergeCell ref="S9:W9"/>
    <mergeCell ref="B10:I10"/>
    <mergeCell ref="S10:W10"/>
    <mergeCell ref="AC10:AG10"/>
    <mergeCell ref="N11:P11"/>
    <mergeCell ref="S11:W11"/>
    <mergeCell ref="B8:C8"/>
    <mergeCell ref="N8:P8"/>
    <mergeCell ref="S8:W8"/>
    <mergeCell ref="AI4:AI5"/>
    <mergeCell ref="B5:C5"/>
    <mergeCell ref="N5:P5"/>
    <mergeCell ref="AC5:AE5"/>
    <mergeCell ref="B6:C6"/>
    <mergeCell ref="N6:P6"/>
    <mergeCell ref="AC6:AE6"/>
    <mergeCell ref="N2:P2"/>
    <mergeCell ref="S2:Z2"/>
    <mergeCell ref="B3:C3"/>
    <mergeCell ref="N3:P3"/>
    <mergeCell ref="AC3:AE3"/>
    <mergeCell ref="B4:C4"/>
    <mergeCell ref="N4:P4"/>
    <mergeCell ref="AC4:AE4"/>
    <mergeCell ref="B7:C7"/>
    <mergeCell ref="N7:P7"/>
    <mergeCell ref="S7:W7"/>
    <mergeCell ref="AC7:AE7"/>
  </mergeCells>
  <pageMargins left="0.7" right="0.7" top="0.75" bottom="0.75" header="0.3" footer="0.3"/>
  <pageSetup paperSize="9" orientation="portrait" horizontalDpi="200" verticalDpi="2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U24"/>
  <sheetViews>
    <sheetView topLeftCell="D1" workbookViewId="0">
      <selection activeCell="U4" sqref="U4"/>
    </sheetView>
  </sheetViews>
  <sheetFormatPr defaultRowHeight="15" x14ac:dyDescent="0.25"/>
  <cols>
    <col min="4" max="4" width="9.7109375" customWidth="1"/>
    <col min="5" max="6" width="14" customWidth="1"/>
    <col min="7" max="7" width="14.140625" customWidth="1"/>
    <col min="8" max="8" width="13.28515625" customWidth="1"/>
    <col min="9" max="9" width="10" customWidth="1"/>
    <col min="10" max="10" width="10.28515625" customWidth="1"/>
    <col min="21" max="21" width="9.5703125" bestFit="1" customWidth="1"/>
  </cols>
  <sheetData>
    <row r="2" spans="2:21" x14ac:dyDescent="0.25">
      <c r="B2" s="38" t="s">
        <v>49</v>
      </c>
      <c r="C2" s="13">
        <v>0.22</v>
      </c>
    </row>
    <row r="3" spans="2:21" x14ac:dyDescent="0.25">
      <c r="B3" s="38" t="s">
        <v>50</v>
      </c>
      <c r="C3" s="13">
        <v>2.54</v>
      </c>
      <c r="H3" s="191" t="s">
        <v>112</v>
      </c>
      <c r="I3" s="192"/>
      <c r="J3" s="193"/>
      <c r="K3" s="15">
        <f>J6*F16^(3/4)</f>
        <v>0.7013114556897867</v>
      </c>
      <c r="M3" s="34"/>
      <c r="P3" s="38" t="s">
        <v>54</v>
      </c>
      <c r="Q3" s="38" t="s">
        <v>55</v>
      </c>
      <c r="R3" s="38" t="s">
        <v>56</v>
      </c>
      <c r="U3" s="38" t="s">
        <v>54</v>
      </c>
    </row>
    <row r="4" spans="2:21" x14ac:dyDescent="0.25">
      <c r="B4" s="38" t="s">
        <v>51</v>
      </c>
      <c r="C4" s="42">
        <v>0.32300000000000001</v>
      </c>
      <c r="O4" s="38" t="s">
        <v>57</v>
      </c>
      <c r="P4" s="39" t="s">
        <v>58</v>
      </c>
      <c r="Q4" s="39" t="s">
        <v>59</v>
      </c>
      <c r="R4" s="39" t="s">
        <v>60</v>
      </c>
      <c r="T4" s="38" t="s">
        <v>62</v>
      </c>
      <c r="U4" s="3">
        <f t="shared" ref="U4:U9" si="0">R5*M$6/R$11</f>
        <v>389.81112450667104</v>
      </c>
    </row>
    <row r="5" spans="2:21" x14ac:dyDescent="0.25">
      <c r="B5" s="38" t="s">
        <v>52</v>
      </c>
      <c r="C5" s="36">
        <v>9.81</v>
      </c>
      <c r="H5" s="191" t="s">
        <v>65</v>
      </c>
      <c r="I5" s="193"/>
      <c r="J5" s="15">
        <v>9.1999999999999998E-2</v>
      </c>
      <c r="O5" s="38">
        <v>6</v>
      </c>
      <c r="P5" s="8">
        <f>E14</f>
        <v>2887.2563348548092</v>
      </c>
      <c r="Q5" s="5">
        <f>Q6+3.2+0.23</f>
        <v>19.93</v>
      </c>
      <c r="R5" s="8">
        <f t="shared" ref="R5:R10" si="1">P5*Q5</f>
        <v>57543.018753656346</v>
      </c>
      <c r="T5" s="38" t="s">
        <v>63</v>
      </c>
      <c r="U5" s="3">
        <f t="shared" si="0"/>
        <v>357.11072975834719</v>
      </c>
    </row>
    <row r="6" spans="2:21" x14ac:dyDescent="0.25">
      <c r="H6" s="191" t="s">
        <v>53</v>
      </c>
      <c r="I6" s="193"/>
      <c r="J6" s="15">
        <v>7.4999999999999997E-2</v>
      </c>
      <c r="L6" s="19" t="s">
        <v>69</v>
      </c>
      <c r="M6" s="20">
        <f>K8*J5*$F$15*9.81</f>
        <v>1494.3714613577381</v>
      </c>
      <c r="O6" s="38">
        <v>5</v>
      </c>
      <c r="P6" s="8">
        <f>E$13</f>
        <v>3194.9007232393815</v>
      </c>
      <c r="Q6" s="5">
        <f t="shared" ref="Q6:Q8" si="2">Q7+3.2</f>
        <v>16.5</v>
      </c>
      <c r="R6" s="8">
        <f t="shared" si="1"/>
        <v>52715.861933449793</v>
      </c>
      <c r="T6" s="38" t="s">
        <v>64</v>
      </c>
      <c r="U6" s="3">
        <f t="shared" si="0"/>
        <v>287.85289125975868</v>
      </c>
    </row>
    <row r="7" spans="2:21" x14ac:dyDescent="0.25">
      <c r="C7" s="167" t="s">
        <v>356</v>
      </c>
      <c r="D7" s="228"/>
      <c r="E7" s="168"/>
      <c r="F7" s="3">
        <f>'Analisi dei Carichi F.O.'!P12</f>
        <v>11.428346589267454</v>
      </c>
      <c r="O7" s="38">
        <v>4</v>
      </c>
      <c r="P7" s="8">
        <f>E$13</f>
        <v>3194.9007232393815</v>
      </c>
      <c r="Q7" s="5">
        <f t="shared" si="2"/>
        <v>13.3</v>
      </c>
      <c r="R7" s="8">
        <f t="shared" si="1"/>
        <v>42492.179619083778</v>
      </c>
      <c r="T7" s="38" t="s">
        <v>66</v>
      </c>
      <c r="U7" s="9">
        <f t="shared" si="0"/>
        <v>224.24767294265254</v>
      </c>
    </row>
    <row r="8" spans="2:21" x14ac:dyDescent="0.25">
      <c r="C8" s="167" t="s">
        <v>357</v>
      </c>
      <c r="D8" s="228"/>
      <c r="E8" s="168"/>
      <c r="F8" s="3">
        <f>'Analisi dei Carichi F.O.'!P23</f>
        <v>11.140271793557135</v>
      </c>
      <c r="H8" s="241" t="s">
        <v>185</v>
      </c>
      <c r="I8" s="241"/>
      <c r="J8" s="33" t="s">
        <v>67</v>
      </c>
      <c r="K8" s="11">
        <v>0.85</v>
      </c>
      <c r="L8" t="s">
        <v>61</v>
      </c>
      <c r="O8" s="38">
        <v>3</v>
      </c>
      <c r="P8" s="8">
        <f>E12</f>
        <v>3277.5172329814704</v>
      </c>
      <c r="Q8" s="5">
        <f t="shared" si="2"/>
        <v>10.100000000000001</v>
      </c>
      <c r="R8" s="8">
        <f t="shared" si="1"/>
        <v>33102.924053112853</v>
      </c>
      <c r="T8" s="38" t="s">
        <v>68</v>
      </c>
      <c r="U8" s="9">
        <f t="shared" si="0"/>
        <v>153.19890527765372</v>
      </c>
    </row>
    <row r="9" spans="2:21" x14ac:dyDescent="0.25">
      <c r="C9" s="167" t="s">
        <v>358</v>
      </c>
      <c r="D9" s="228"/>
      <c r="E9" s="168"/>
      <c r="F9" s="3">
        <f>'Analisi dei Carichi F.O.'!P39</f>
        <v>8.6939365698729567</v>
      </c>
      <c r="O9" s="38">
        <v>2</v>
      </c>
      <c r="P9" s="8">
        <f>E12</f>
        <v>3277.5172329814704</v>
      </c>
      <c r="Q9" s="5">
        <f>Q10+3.2</f>
        <v>6.9</v>
      </c>
      <c r="R9" s="8">
        <f t="shared" si="1"/>
        <v>22614.868907572149</v>
      </c>
      <c r="T9" s="38" t="s">
        <v>70</v>
      </c>
      <c r="U9" s="9">
        <f t="shared" si="0"/>
        <v>82.150137612654888</v>
      </c>
    </row>
    <row r="10" spans="2:21" x14ac:dyDescent="0.25">
      <c r="H10" s="184" t="s">
        <v>113</v>
      </c>
      <c r="I10" s="184"/>
      <c r="J10" s="184"/>
      <c r="K10" s="16">
        <f>K11*J15</f>
        <v>5.8500000000000005</v>
      </c>
      <c r="O10" s="38">
        <v>1</v>
      </c>
      <c r="P10" s="8">
        <f>E12</f>
        <v>3277.5172329814704</v>
      </c>
      <c r="Q10" s="5">
        <v>3.7</v>
      </c>
      <c r="R10" s="8">
        <f t="shared" si="1"/>
        <v>12126.813762031441</v>
      </c>
      <c r="T10" s="38" t="s">
        <v>73</v>
      </c>
      <c r="U10" s="10">
        <f>SUM(U4:U9)</f>
        <v>1494.3714613577381</v>
      </c>
    </row>
    <row r="11" spans="2:21" ht="17.25" x14ac:dyDescent="0.25">
      <c r="B11" s="239"/>
      <c r="C11" s="240"/>
      <c r="D11" s="37" t="s">
        <v>110</v>
      </c>
      <c r="E11" s="37" t="s">
        <v>111</v>
      </c>
      <c r="F11" s="37" t="s">
        <v>107</v>
      </c>
      <c r="H11" s="184" t="s">
        <v>71</v>
      </c>
      <c r="I11" s="184"/>
      <c r="J11" s="184"/>
      <c r="K11" s="18">
        <f>4.5*T19</f>
        <v>5.8500000000000005</v>
      </c>
      <c r="P11" s="184" t="s">
        <v>72</v>
      </c>
      <c r="Q11" s="184"/>
      <c r="R11" s="8">
        <f>SUM(R5:R10)</f>
        <v>220595.66702890638</v>
      </c>
    </row>
    <row r="12" spans="2:21" x14ac:dyDescent="0.25">
      <c r="B12" s="179" t="s">
        <v>359</v>
      </c>
      <c r="C12" s="181"/>
      <c r="D12" s="6">
        <v>286.78840000000002</v>
      </c>
      <c r="E12" s="3">
        <f>D12*F7</f>
        <v>3277.5172329814704</v>
      </c>
      <c r="F12" s="3">
        <f>E12/C5</f>
        <v>334.09961600218861</v>
      </c>
    </row>
    <row r="13" spans="2:21" x14ac:dyDescent="0.25">
      <c r="B13" s="179" t="s">
        <v>360</v>
      </c>
      <c r="C13" s="181"/>
      <c r="D13" s="6">
        <v>286.78840000000002</v>
      </c>
      <c r="E13" s="3">
        <f>D13*F8</f>
        <v>3194.9007232393815</v>
      </c>
      <c r="F13" s="3">
        <f>E13/C5</f>
        <v>325.67795343928452</v>
      </c>
      <c r="H13" s="242" t="s">
        <v>96</v>
      </c>
      <c r="I13" s="243"/>
      <c r="J13" s="244"/>
    </row>
    <row r="14" spans="2:21" x14ac:dyDescent="0.25">
      <c r="B14" s="169" t="s">
        <v>108</v>
      </c>
      <c r="C14" s="169"/>
      <c r="D14" s="6">
        <v>332.1</v>
      </c>
      <c r="E14" s="3">
        <f>D14*F9</f>
        <v>2887.2563348548092</v>
      </c>
      <c r="F14" s="3">
        <f>E14/C5</f>
        <v>294.31766920028633</v>
      </c>
      <c r="H14" s="191" t="s">
        <v>74</v>
      </c>
      <c r="I14" s="193"/>
      <c r="J14" s="7"/>
    </row>
    <row r="15" spans="2:21" x14ac:dyDescent="0.25">
      <c r="B15" s="169" t="s">
        <v>109</v>
      </c>
      <c r="C15" s="169"/>
      <c r="D15" s="14"/>
      <c r="E15" s="8">
        <f>E12*3+E13*2+E14</f>
        <v>19109.609480277984</v>
      </c>
      <c r="F15" s="8">
        <f>E15/C5</f>
        <v>1947.9724240854214</v>
      </c>
      <c r="H15" s="179" t="s">
        <v>75</v>
      </c>
      <c r="I15" s="181"/>
      <c r="J15" s="18">
        <v>1</v>
      </c>
    </row>
    <row r="16" spans="2:21" x14ac:dyDescent="0.25">
      <c r="B16" s="179" t="s">
        <v>105</v>
      </c>
      <c r="C16" s="180"/>
      <c r="D16" s="180"/>
      <c r="E16" s="181"/>
      <c r="F16" s="17">
        <f>3.2*5+3.7</f>
        <v>19.7</v>
      </c>
      <c r="H16" s="179" t="s">
        <v>76</v>
      </c>
      <c r="I16" s="181"/>
      <c r="J16" s="16">
        <v>0.8</v>
      </c>
      <c r="K16" t="s">
        <v>186</v>
      </c>
      <c r="M16" s="245" t="s">
        <v>78</v>
      </c>
      <c r="N16" s="245"/>
      <c r="O16" s="245"/>
      <c r="P16" s="245"/>
      <c r="Q16" s="245"/>
      <c r="R16" s="245"/>
      <c r="S16" s="245"/>
      <c r="T16" s="245"/>
    </row>
    <row r="17" spans="3:20" x14ac:dyDescent="0.25">
      <c r="M17" s="166" t="s">
        <v>82</v>
      </c>
      <c r="N17" s="166"/>
      <c r="O17" s="166"/>
      <c r="P17" s="166"/>
      <c r="Q17" s="166"/>
      <c r="R17" s="166"/>
      <c r="S17" s="166"/>
      <c r="T17" s="16">
        <v>1.1000000000000001</v>
      </c>
    </row>
    <row r="18" spans="3:20" x14ac:dyDescent="0.25">
      <c r="M18" s="166" t="s">
        <v>86</v>
      </c>
      <c r="N18" s="166"/>
      <c r="O18" s="166"/>
      <c r="P18" s="166"/>
      <c r="Q18" s="166"/>
      <c r="R18" s="166"/>
      <c r="S18" s="166"/>
      <c r="T18" s="18">
        <v>1.2</v>
      </c>
    </row>
    <row r="19" spans="3:20" x14ac:dyDescent="0.25">
      <c r="C19" s="245" t="s">
        <v>77</v>
      </c>
      <c r="D19" s="245"/>
      <c r="E19" s="245"/>
      <c r="F19" s="245"/>
      <c r="G19" s="245"/>
      <c r="H19" s="245"/>
      <c r="I19" s="245"/>
      <c r="J19" s="245"/>
      <c r="K19" s="245"/>
      <c r="M19" s="166" t="s">
        <v>89</v>
      </c>
      <c r="N19" s="166"/>
      <c r="O19" s="166"/>
      <c r="P19" s="166"/>
      <c r="Q19" s="166"/>
      <c r="R19" s="166"/>
      <c r="S19" s="166"/>
      <c r="T19" s="16">
        <v>1.3</v>
      </c>
    </row>
    <row r="20" spans="3:20" x14ac:dyDescent="0.25">
      <c r="C20" s="184" t="s">
        <v>79</v>
      </c>
      <c r="D20" s="184"/>
      <c r="E20" s="184"/>
      <c r="F20" s="184"/>
      <c r="G20" s="184"/>
      <c r="H20" s="184"/>
      <c r="I20" s="184"/>
      <c r="J20" s="21" t="s">
        <v>80</v>
      </c>
      <c r="K20" s="21" t="s">
        <v>81</v>
      </c>
      <c r="M20" s="166" t="s">
        <v>91</v>
      </c>
      <c r="N20" s="166"/>
      <c r="O20" s="166"/>
      <c r="P20" s="166"/>
      <c r="Q20" s="166"/>
      <c r="R20" s="166"/>
      <c r="S20" s="166"/>
      <c r="T20" s="18"/>
    </row>
    <row r="21" spans="3:20" x14ac:dyDescent="0.25">
      <c r="C21" s="166" t="s">
        <v>83</v>
      </c>
      <c r="D21" s="166"/>
      <c r="E21" s="166"/>
      <c r="F21" s="166"/>
      <c r="G21" s="166"/>
      <c r="H21" s="166"/>
      <c r="I21" s="166"/>
      <c r="J21" s="16" t="s">
        <v>84</v>
      </c>
      <c r="K21" s="16" t="s">
        <v>85</v>
      </c>
      <c r="M21" s="166" t="s">
        <v>93</v>
      </c>
      <c r="N21" s="166"/>
      <c r="O21" s="166"/>
      <c r="P21" s="166"/>
      <c r="Q21" s="166"/>
      <c r="R21" s="166"/>
      <c r="S21" s="166"/>
      <c r="T21" s="18">
        <v>1</v>
      </c>
    </row>
    <row r="22" spans="3:20" x14ac:dyDescent="0.25">
      <c r="C22" s="166" t="s">
        <v>87</v>
      </c>
      <c r="D22" s="166"/>
      <c r="E22" s="166"/>
      <c r="F22" s="166"/>
      <c r="G22" s="166"/>
      <c r="H22" s="166"/>
      <c r="I22" s="166"/>
      <c r="J22" s="16" t="s">
        <v>88</v>
      </c>
      <c r="K22" s="18">
        <v>3</v>
      </c>
      <c r="M22" s="166" t="s">
        <v>94</v>
      </c>
      <c r="N22" s="166"/>
      <c r="O22" s="166"/>
      <c r="P22" s="166"/>
      <c r="Q22" s="166"/>
      <c r="R22" s="166"/>
      <c r="S22" s="166"/>
      <c r="T22" s="18">
        <v>1.1000000000000001</v>
      </c>
    </row>
    <row r="23" spans="3:20" x14ac:dyDescent="0.25">
      <c r="C23" s="166" t="s">
        <v>90</v>
      </c>
      <c r="D23" s="166"/>
      <c r="E23" s="166"/>
      <c r="F23" s="166"/>
      <c r="G23" s="166"/>
      <c r="H23" s="166"/>
      <c r="I23" s="166"/>
      <c r="J23" s="18">
        <v>3</v>
      </c>
      <c r="K23" s="18">
        <v>2</v>
      </c>
      <c r="M23" s="166" t="s">
        <v>95</v>
      </c>
      <c r="N23" s="166"/>
      <c r="O23" s="166"/>
      <c r="P23" s="166"/>
      <c r="Q23" s="166"/>
      <c r="R23" s="166"/>
      <c r="S23" s="166"/>
      <c r="T23" s="18">
        <v>1.2</v>
      </c>
    </row>
    <row r="24" spans="3:20" x14ac:dyDescent="0.25">
      <c r="C24" s="166" t="s">
        <v>92</v>
      </c>
      <c r="D24" s="166"/>
      <c r="E24" s="166"/>
      <c r="F24" s="166"/>
      <c r="G24" s="166"/>
      <c r="H24" s="166"/>
      <c r="I24" s="166"/>
      <c r="J24" s="18">
        <v>2</v>
      </c>
      <c r="K24" s="18">
        <v>1.5</v>
      </c>
    </row>
  </sheetData>
  <mergeCells count="34">
    <mergeCell ref="C24:I24"/>
    <mergeCell ref="C21:I21"/>
    <mergeCell ref="M21:S21"/>
    <mergeCell ref="C22:I22"/>
    <mergeCell ref="M22:S22"/>
    <mergeCell ref="C23:I23"/>
    <mergeCell ref="M23:S23"/>
    <mergeCell ref="P11:Q11"/>
    <mergeCell ref="C20:I20"/>
    <mergeCell ref="M20:S20"/>
    <mergeCell ref="B14:C14"/>
    <mergeCell ref="H13:J13"/>
    <mergeCell ref="B15:C15"/>
    <mergeCell ref="H14:I14"/>
    <mergeCell ref="H15:I15"/>
    <mergeCell ref="B16:E16"/>
    <mergeCell ref="H16:I16"/>
    <mergeCell ref="M16:T16"/>
    <mergeCell ref="M17:S17"/>
    <mergeCell ref="M18:S18"/>
    <mergeCell ref="C19:K19"/>
    <mergeCell ref="M19:S19"/>
    <mergeCell ref="B12:C12"/>
    <mergeCell ref="B13:C13"/>
    <mergeCell ref="H10:J10"/>
    <mergeCell ref="B11:C11"/>
    <mergeCell ref="H11:J11"/>
    <mergeCell ref="H3:J3"/>
    <mergeCell ref="H5:I5"/>
    <mergeCell ref="H6:I6"/>
    <mergeCell ref="C7:E7"/>
    <mergeCell ref="C8:E8"/>
    <mergeCell ref="H8:I8"/>
    <mergeCell ref="C9:E9"/>
  </mergeCells>
  <pageMargins left="0.7" right="0.7" top="0.75" bottom="0.75" header="0.3" footer="0.3"/>
  <pageSetup paperSize="9" orientation="portrait" horizontalDpi="200" verticalDpi="20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Q118"/>
  <sheetViews>
    <sheetView zoomScaleNormal="100" workbookViewId="0">
      <selection activeCell="J13" sqref="J13"/>
    </sheetView>
  </sheetViews>
  <sheetFormatPr defaultRowHeight="15" x14ac:dyDescent="0.25"/>
  <cols>
    <col min="3" max="3" width="9.7109375" customWidth="1"/>
    <col min="4" max="4" width="9.85546875" customWidth="1"/>
    <col min="5" max="5" width="10.140625" customWidth="1"/>
    <col min="7" max="7" width="9.85546875" customWidth="1"/>
    <col min="8" max="8" width="10" customWidth="1"/>
    <col min="10" max="10" width="19.85546875" customWidth="1"/>
    <col min="11" max="11" width="9.28515625" customWidth="1"/>
    <col min="14" max="14" width="10.7109375" customWidth="1"/>
    <col min="15" max="15" width="11.5703125" customWidth="1"/>
    <col min="16" max="16" width="12" customWidth="1"/>
    <col min="17" max="17" width="11.7109375" customWidth="1"/>
    <col min="18" max="18" width="12.7109375" customWidth="1"/>
    <col min="19" max="19" width="11" customWidth="1"/>
    <col min="20" max="20" width="17.42578125" customWidth="1"/>
    <col min="21" max="21" width="21.7109375" customWidth="1"/>
    <col min="22" max="22" width="9.140625" customWidth="1"/>
    <col min="23" max="23" width="13.7109375" customWidth="1"/>
    <col min="24" max="24" width="10.28515625" customWidth="1"/>
    <col min="25" max="25" width="9.42578125" customWidth="1"/>
    <col min="26" max="26" width="9.7109375" customWidth="1"/>
    <col min="27" max="27" width="9.140625" customWidth="1"/>
    <col min="28" max="28" width="11.140625" customWidth="1"/>
    <col min="29" max="29" width="10.5703125" customWidth="1"/>
    <col min="30" max="30" width="11.42578125" customWidth="1"/>
    <col min="31" max="31" width="11.140625" customWidth="1"/>
    <col min="33" max="34" width="9.140625" customWidth="1"/>
    <col min="36" max="36" width="9.140625" customWidth="1"/>
  </cols>
  <sheetData>
    <row r="1" spans="2:43" ht="15" customHeight="1" x14ac:dyDescent="0.25">
      <c r="K1" s="300" t="s">
        <v>200</v>
      </c>
      <c r="L1" s="237"/>
      <c r="M1" s="237"/>
      <c r="N1" s="237"/>
      <c r="O1" s="237"/>
      <c r="P1" s="237"/>
      <c r="Q1" s="301"/>
      <c r="T1" s="200"/>
      <c r="U1" s="200"/>
      <c r="AO1" s="249" t="s">
        <v>243</v>
      </c>
      <c r="AP1" s="249"/>
      <c r="AQ1" s="249"/>
    </row>
    <row r="2" spans="2:43" ht="18.75" x14ac:dyDescent="0.25">
      <c r="K2" s="302"/>
      <c r="L2" s="303"/>
      <c r="M2" s="303"/>
      <c r="N2" s="303"/>
      <c r="O2" s="303"/>
      <c r="P2" s="303"/>
      <c r="Q2" s="304"/>
      <c r="T2" s="289" t="s">
        <v>40</v>
      </c>
      <c r="U2" s="290"/>
      <c r="V2" s="290"/>
      <c r="W2" s="290"/>
      <c r="X2" s="291"/>
      <c r="Z2" s="122" t="s">
        <v>57</v>
      </c>
      <c r="AA2" s="122" t="s">
        <v>177</v>
      </c>
      <c r="AB2" s="122" t="s">
        <v>180</v>
      </c>
      <c r="AC2" s="122" t="s">
        <v>178</v>
      </c>
      <c r="AD2" s="122" t="s">
        <v>229</v>
      </c>
      <c r="AE2" s="122" t="s">
        <v>230</v>
      </c>
      <c r="AF2" s="122" t="str">
        <f t="shared" ref="AF2:AF8" si="0">I3</f>
        <v>ΔNpil</v>
      </c>
      <c r="AG2" s="122" t="s">
        <v>233</v>
      </c>
      <c r="AH2" s="122" t="s">
        <v>231</v>
      </c>
      <c r="AI2" s="122" t="s">
        <v>232</v>
      </c>
      <c r="AO2" s="249"/>
      <c r="AP2" s="249"/>
      <c r="AQ2" s="249"/>
    </row>
    <row r="3" spans="2:43" ht="15" customHeight="1" x14ac:dyDescent="0.25">
      <c r="B3" s="122" t="s">
        <v>57</v>
      </c>
      <c r="C3" s="122" t="s">
        <v>175</v>
      </c>
      <c r="D3" s="122" t="s">
        <v>176</v>
      </c>
      <c r="E3" s="122" t="s">
        <v>199</v>
      </c>
      <c r="F3" s="122" t="s">
        <v>177</v>
      </c>
      <c r="G3" s="122" t="s">
        <v>178</v>
      </c>
      <c r="H3" s="122" t="s">
        <v>179</v>
      </c>
      <c r="I3" s="122" t="s">
        <v>190</v>
      </c>
      <c r="K3" s="122" t="str">
        <f t="shared" ref="K3:Q3" si="1">B3</f>
        <v>Piano</v>
      </c>
      <c r="L3" s="122" t="str">
        <f t="shared" si="1"/>
        <v>Fi</v>
      </c>
      <c r="M3" s="122" t="str">
        <f t="shared" si="1"/>
        <v>Vi</v>
      </c>
      <c r="N3" s="122" t="str">
        <f t="shared" si="1"/>
        <v xml:space="preserve">Vpil </v>
      </c>
      <c r="O3" s="122" t="str">
        <f t="shared" si="1"/>
        <v>Mpil</v>
      </c>
      <c r="P3" s="122" t="str">
        <f t="shared" si="1"/>
        <v>Mtra</v>
      </c>
      <c r="Q3" s="122" t="str">
        <f t="shared" si="1"/>
        <v>Vtra</v>
      </c>
      <c r="T3" s="292"/>
      <c r="U3" s="293"/>
      <c r="V3" s="61" t="s">
        <v>14</v>
      </c>
      <c r="W3" s="61" t="s">
        <v>16</v>
      </c>
      <c r="X3" s="61" t="s">
        <v>15</v>
      </c>
      <c r="Z3" s="122">
        <v>6</v>
      </c>
      <c r="AA3" s="3">
        <f t="shared" ref="AA3:AC8" si="2">F13</f>
        <v>93.554669881601043</v>
      </c>
      <c r="AB3" s="3">
        <f t="shared" si="2"/>
        <v>140.33200482240156</v>
      </c>
      <c r="AC3" s="3">
        <f t="shared" si="2"/>
        <v>46.777334940800522</v>
      </c>
      <c r="AD3" s="3">
        <v>200</v>
      </c>
      <c r="AE3" s="3">
        <v>100</v>
      </c>
      <c r="AF3" s="3">
        <f t="shared" si="0"/>
        <v>19.490556225333552</v>
      </c>
      <c r="AG3" s="3">
        <f t="shared" ref="AG3:AG8" si="3">1.5*AF3</f>
        <v>29.23583433800033</v>
      </c>
      <c r="AH3" s="3">
        <f t="shared" ref="AH3:AH8" si="4">AD3+AG3</f>
        <v>229.23583433800033</v>
      </c>
      <c r="AI3" s="3">
        <f t="shared" ref="AI3:AI8" si="5">AE3-AG3</f>
        <v>70.76416566199967</v>
      </c>
    </row>
    <row r="4" spans="2:43" x14ac:dyDescent="0.25">
      <c r="B4" s="122">
        <v>6</v>
      </c>
      <c r="C4" s="3">
        <f>'[2]Forze Orizzontali CD"A"'!U5</f>
        <v>389.81112450667104</v>
      </c>
      <c r="D4" s="3">
        <f>C4</f>
        <v>389.81112450667104</v>
      </c>
      <c r="E4" s="3">
        <f t="shared" ref="E4:E9" si="6">D4/L$17</f>
        <v>48.726390563333879</v>
      </c>
      <c r="F4" s="3">
        <f>0.5*L$14*E4</f>
        <v>77.96222490133421</v>
      </c>
      <c r="G4" s="3">
        <f>F4/2</f>
        <v>38.981112450667105</v>
      </c>
      <c r="H4" s="3">
        <f t="shared" ref="H4:H9" si="7">2*G4/4</f>
        <v>19.490556225333552</v>
      </c>
      <c r="I4" s="3">
        <f>H4</f>
        <v>19.490556225333552</v>
      </c>
      <c r="K4" s="122">
        <f t="shared" ref="K4:M9" si="8">B4</f>
        <v>6</v>
      </c>
      <c r="L4" s="3">
        <f t="shared" si="8"/>
        <v>389.81112450667104</v>
      </c>
      <c r="M4" s="3">
        <f t="shared" si="8"/>
        <v>389.81112450667104</v>
      </c>
      <c r="N4" s="3">
        <f t="shared" ref="N4:Q9" si="9">E4*1.2</f>
        <v>58.471668676000654</v>
      </c>
      <c r="O4" s="3">
        <f t="shared" si="9"/>
        <v>93.554669881601043</v>
      </c>
      <c r="P4" s="3">
        <f t="shared" si="9"/>
        <v>46.777334940800522</v>
      </c>
      <c r="Q4" s="3">
        <f t="shared" si="9"/>
        <v>23.388667470400261</v>
      </c>
      <c r="T4" s="294" t="s">
        <v>18</v>
      </c>
      <c r="U4" s="295"/>
      <c r="V4" s="165">
        <v>0.7</v>
      </c>
      <c r="W4" s="165">
        <v>0.5</v>
      </c>
      <c r="X4" s="165">
        <v>0.3</v>
      </c>
      <c r="Z4" s="122">
        <v>5</v>
      </c>
      <c r="AA4" s="3">
        <f t="shared" si="2"/>
        <v>179.2612450236044</v>
      </c>
      <c r="AB4" s="3">
        <f t="shared" si="2"/>
        <v>268.89186753540662</v>
      </c>
      <c r="AC4" s="3">
        <f t="shared" si="2"/>
        <v>136.40795745260274</v>
      </c>
      <c r="AD4" s="3">
        <f>200+AD3</f>
        <v>400</v>
      </c>
      <c r="AE4" s="3">
        <f>AE3+100</f>
        <v>200</v>
      </c>
      <c r="AF4" s="3">
        <f t="shared" si="0"/>
        <v>76.327205163918023</v>
      </c>
      <c r="AG4" s="3">
        <f t="shared" si="3"/>
        <v>114.49080774587704</v>
      </c>
      <c r="AH4" s="3">
        <f t="shared" si="4"/>
        <v>514.49080774587708</v>
      </c>
      <c r="AI4" s="3">
        <f t="shared" si="5"/>
        <v>85.509192254122965</v>
      </c>
    </row>
    <row r="5" spans="2:43" x14ac:dyDescent="0.25">
      <c r="B5" s="122">
        <v>5</v>
      </c>
      <c r="C5" s="3">
        <f>'[2]Forze Orizzontali CD"A"'!U6</f>
        <v>357.11072975834719</v>
      </c>
      <c r="D5" s="3">
        <f>D4+C5</f>
        <v>746.92185426501828</v>
      </c>
      <c r="E5" s="3">
        <f t="shared" si="6"/>
        <v>93.365231783127285</v>
      </c>
      <c r="F5" s="3">
        <f>0.5*L$14*E5</f>
        <v>149.38437085300367</v>
      </c>
      <c r="G5" s="3">
        <f>(F5+F4)/2</f>
        <v>113.67329787716895</v>
      </c>
      <c r="H5" s="3">
        <f t="shared" si="7"/>
        <v>56.836648938584474</v>
      </c>
      <c r="I5" s="3">
        <f>H4+H5</f>
        <v>76.327205163918023</v>
      </c>
      <c r="K5" s="122">
        <f t="shared" si="8"/>
        <v>5</v>
      </c>
      <c r="L5" s="3">
        <f t="shared" si="8"/>
        <v>357.11072975834719</v>
      </c>
      <c r="M5" s="3">
        <f t="shared" si="8"/>
        <v>746.92185426501828</v>
      </c>
      <c r="N5" s="3">
        <f t="shared" si="9"/>
        <v>112.03827813975273</v>
      </c>
      <c r="O5" s="3">
        <f t="shared" si="9"/>
        <v>179.2612450236044</v>
      </c>
      <c r="P5" s="3">
        <f t="shared" si="9"/>
        <v>136.40795745260274</v>
      </c>
      <c r="Q5" s="3">
        <f t="shared" si="9"/>
        <v>68.203978726301372</v>
      </c>
      <c r="T5" s="253" t="s">
        <v>17</v>
      </c>
      <c r="U5" s="254"/>
      <c r="V5" s="165">
        <v>0.7</v>
      </c>
      <c r="W5" s="165">
        <v>0.5</v>
      </c>
      <c r="X5" s="165">
        <v>0.3</v>
      </c>
      <c r="Z5" s="122">
        <v>4</v>
      </c>
      <c r="AA5" s="3">
        <f t="shared" si="2"/>
        <v>248.34593892594648</v>
      </c>
      <c r="AB5" s="3">
        <f t="shared" si="2"/>
        <v>372.51890838891973</v>
      </c>
      <c r="AC5" s="3">
        <f t="shared" si="2"/>
        <v>213.80359197477546</v>
      </c>
      <c r="AD5" s="3">
        <f>200+AD4</f>
        <v>600</v>
      </c>
      <c r="AE5" s="3">
        <f>AE4+100</f>
        <v>300</v>
      </c>
      <c r="AF5" s="3">
        <f t="shared" si="0"/>
        <v>145.92147892807424</v>
      </c>
      <c r="AG5" s="3">
        <f t="shared" si="3"/>
        <v>218.88221839211135</v>
      </c>
      <c r="AH5" s="3">
        <f t="shared" si="4"/>
        <v>818.88221839211133</v>
      </c>
      <c r="AI5" s="3">
        <f t="shared" si="5"/>
        <v>81.117781607888645</v>
      </c>
    </row>
    <row r="6" spans="2:43" x14ac:dyDescent="0.25">
      <c r="B6" s="122">
        <v>4</v>
      </c>
      <c r="C6" s="3">
        <f>'[2]Forze Orizzontali CD"A"'!U7</f>
        <v>287.85289125975868</v>
      </c>
      <c r="D6" s="3">
        <f>D5+C6</f>
        <v>1034.774745524777</v>
      </c>
      <c r="E6" s="3">
        <f t="shared" si="6"/>
        <v>129.34684319059713</v>
      </c>
      <c r="F6" s="3">
        <f>0.5*L$14*E6</f>
        <v>206.9549491049554</v>
      </c>
      <c r="G6" s="3">
        <f>(F6+F5)/2</f>
        <v>178.16965997897955</v>
      </c>
      <c r="H6" s="3">
        <f t="shared" si="7"/>
        <v>89.084829989489776</v>
      </c>
      <c r="I6" s="3">
        <f>H5+H6</f>
        <v>145.92147892807424</v>
      </c>
      <c r="K6" s="122">
        <f t="shared" si="8"/>
        <v>4</v>
      </c>
      <c r="L6" s="3">
        <f t="shared" si="8"/>
        <v>287.85289125975868</v>
      </c>
      <c r="M6" s="3">
        <f t="shared" si="8"/>
        <v>1034.774745524777</v>
      </c>
      <c r="N6" s="3">
        <f t="shared" si="9"/>
        <v>155.21621182871655</v>
      </c>
      <c r="O6" s="3">
        <f t="shared" si="9"/>
        <v>248.34593892594648</v>
      </c>
      <c r="P6" s="3">
        <f t="shared" si="9"/>
        <v>213.80359197477546</v>
      </c>
      <c r="Q6" s="3">
        <f t="shared" si="9"/>
        <v>106.90179598738773</v>
      </c>
      <c r="T6" s="253" t="s">
        <v>19</v>
      </c>
      <c r="U6" s="254"/>
      <c r="V6" s="165">
        <v>0.7</v>
      </c>
      <c r="W6" s="165">
        <v>0.7</v>
      </c>
      <c r="X6" s="165">
        <v>0.6</v>
      </c>
      <c r="Z6" s="122">
        <v>3</v>
      </c>
      <c r="AA6" s="3">
        <f t="shared" si="2"/>
        <v>302.1653804321831</v>
      </c>
      <c r="AB6" s="3">
        <f t="shared" si="2"/>
        <v>453.24807064827462</v>
      </c>
      <c r="AC6" s="3">
        <f t="shared" si="2"/>
        <v>275.25565967906482</v>
      </c>
      <c r="AD6" s="3">
        <f>200+AD5</f>
        <v>800</v>
      </c>
      <c r="AE6" s="3">
        <f>AE5+100</f>
        <v>400</v>
      </c>
      <c r="AF6" s="3">
        <f t="shared" si="0"/>
        <v>203.77468818910012</v>
      </c>
      <c r="AG6" s="3">
        <f t="shared" si="3"/>
        <v>305.66203228365021</v>
      </c>
      <c r="AH6" s="3">
        <f t="shared" si="4"/>
        <v>1105.6620322836502</v>
      </c>
      <c r="AI6" s="3">
        <f t="shared" si="5"/>
        <v>94.337967716349795</v>
      </c>
    </row>
    <row r="7" spans="2:43" x14ac:dyDescent="0.25">
      <c r="B7" s="122">
        <v>3</v>
      </c>
      <c r="C7" s="3">
        <f>'[2]Forze Orizzontali CD"A"'!U8</f>
        <v>224.24767294265254</v>
      </c>
      <c r="D7" s="3">
        <f>D6+C7</f>
        <v>1259.0224184674296</v>
      </c>
      <c r="E7" s="3">
        <f t="shared" si="6"/>
        <v>157.3778023084287</v>
      </c>
      <c r="F7" s="3">
        <f>0.5*L$14*E7</f>
        <v>251.80448369348593</v>
      </c>
      <c r="G7" s="3">
        <f>(F7+F6)/2</f>
        <v>229.37971639922068</v>
      </c>
      <c r="H7" s="3">
        <f t="shared" si="7"/>
        <v>114.68985819961034</v>
      </c>
      <c r="I7" s="3">
        <f>H6+H7</f>
        <v>203.77468818910012</v>
      </c>
      <c r="K7" s="122">
        <f t="shared" si="8"/>
        <v>3</v>
      </c>
      <c r="L7" s="3">
        <f t="shared" si="8"/>
        <v>224.24767294265254</v>
      </c>
      <c r="M7" s="3">
        <f t="shared" si="8"/>
        <v>1259.0224184674296</v>
      </c>
      <c r="N7" s="3">
        <f t="shared" si="9"/>
        <v>188.85336277011444</v>
      </c>
      <c r="O7" s="3">
        <f t="shared" si="9"/>
        <v>302.1653804321831</v>
      </c>
      <c r="P7" s="3">
        <f t="shared" si="9"/>
        <v>275.25565967906482</v>
      </c>
      <c r="Q7" s="3">
        <f t="shared" si="9"/>
        <v>137.62782983953241</v>
      </c>
      <c r="T7" s="253" t="s">
        <v>20</v>
      </c>
      <c r="U7" s="254"/>
      <c r="V7" s="165">
        <v>0.7</v>
      </c>
      <c r="W7" s="165">
        <v>0.7</v>
      </c>
      <c r="X7" s="165">
        <v>0.6</v>
      </c>
      <c r="Z7" s="122">
        <v>2</v>
      </c>
      <c r="AA7" s="3">
        <f t="shared" si="2"/>
        <v>338.93311769882001</v>
      </c>
      <c r="AB7" s="3">
        <f t="shared" si="2"/>
        <v>508.39967654822999</v>
      </c>
      <c r="AC7" s="3">
        <f t="shared" si="2"/>
        <v>320.54924906550156</v>
      </c>
      <c r="AD7" s="3">
        <f>200+AD6</f>
        <v>1000</v>
      </c>
      <c r="AE7" s="3">
        <f>AE6+100</f>
        <v>500</v>
      </c>
      <c r="AF7" s="3">
        <f t="shared" si="0"/>
        <v>248.25204531023599</v>
      </c>
      <c r="AG7" s="3">
        <f t="shared" si="3"/>
        <v>372.37806796535398</v>
      </c>
      <c r="AH7" s="3">
        <f t="shared" si="4"/>
        <v>1372.3780679653539</v>
      </c>
      <c r="AI7" s="3">
        <f t="shared" si="5"/>
        <v>127.62193203464602</v>
      </c>
    </row>
    <row r="8" spans="2:43" x14ac:dyDescent="0.25">
      <c r="B8" s="122">
        <v>2</v>
      </c>
      <c r="C8" s="3">
        <f>'[2]Forze Orizzontali CD"A"'!U9</f>
        <v>153.19890527765372</v>
      </c>
      <c r="D8" s="3">
        <f>D7+C8</f>
        <v>1412.2213237450833</v>
      </c>
      <c r="E8" s="3">
        <f t="shared" si="6"/>
        <v>176.52766546813541</v>
      </c>
      <c r="F8" s="3">
        <f>0.5*L$14*E8</f>
        <v>282.44426474901667</v>
      </c>
      <c r="G8" s="3">
        <f>(F8+F7)/2</f>
        <v>267.12437422125129</v>
      </c>
      <c r="H8" s="3">
        <f t="shared" si="7"/>
        <v>133.56218711062564</v>
      </c>
      <c r="I8" s="3">
        <f>H7+H8</f>
        <v>248.25204531023599</v>
      </c>
      <c r="K8" s="122">
        <f t="shared" si="8"/>
        <v>2</v>
      </c>
      <c r="L8" s="3">
        <f t="shared" si="8"/>
        <v>153.19890527765372</v>
      </c>
      <c r="M8" s="3">
        <f t="shared" si="8"/>
        <v>1412.2213237450833</v>
      </c>
      <c r="N8" s="3">
        <f t="shared" si="9"/>
        <v>211.83319856176249</v>
      </c>
      <c r="O8" s="3">
        <f t="shared" si="9"/>
        <v>338.93311769882001</v>
      </c>
      <c r="P8" s="3">
        <f t="shared" si="9"/>
        <v>320.54924906550156</v>
      </c>
      <c r="Q8" s="3">
        <f t="shared" si="9"/>
        <v>160.27462453275078</v>
      </c>
      <c r="T8" s="253" t="s">
        <v>21</v>
      </c>
      <c r="U8" s="254"/>
      <c r="V8" s="165">
        <v>1</v>
      </c>
      <c r="W8" s="165">
        <v>0.9</v>
      </c>
      <c r="X8" s="165">
        <v>0.8</v>
      </c>
      <c r="Z8" s="122" t="s">
        <v>188</v>
      </c>
      <c r="AA8" s="3">
        <f t="shared" si="2"/>
        <v>331.75046442141786</v>
      </c>
      <c r="AB8" s="3">
        <f t="shared" si="2"/>
        <v>497.62569663212679</v>
      </c>
      <c r="AC8" s="3">
        <f t="shared" si="2"/>
        <v>335.34179106011896</v>
      </c>
      <c r="AD8" s="3">
        <f>200+AD7</f>
        <v>1200</v>
      </c>
      <c r="AE8" s="3">
        <f>AE7+100</f>
        <v>600</v>
      </c>
      <c r="AF8" s="3">
        <f t="shared" si="0"/>
        <v>273.28793338567522</v>
      </c>
      <c r="AG8" s="3">
        <f t="shared" si="3"/>
        <v>409.93190007851285</v>
      </c>
      <c r="AH8" s="3">
        <f t="shared" si="4"/>
        <v>1609.9319000785129</v>
      </c>
      <c r="AI8" s="3">
        <f t="shared" si="5"/>
        <v>190.06809992148715</v>
      </c>
    </row>
    <row r="9" spans="2:43" x14ac:dyDescent="0.25">
      <c r="B9" s="122" t="s">
        <v>188</v>
      </c>
      <c r="C9" s="3">
        <f>'[2]Forze Orizzontali CD"A"'!U10</f>
        <v>82.150137612654888</v>
      </c>
      <c r="D9" s="3">
        <f>D8+C9</f>
        <v>1494.3714613577381</v>
      </c>
      <c r="E9" s="3">
        <f t="shared" si="6"/>
        <v>186.79643266971726</v>
      </c>
      <c r="F9" s="3">
        <f>0.4*L15*E9</f>
        <v>276.45872035118157</v>
      </c>
      <c r="G9" s="3">
        <f>(F9+F8)/2</f>
        <v>279.45149255009915</v>
      </c>
      <c r="H9" s="3">
        <f t="shared" si="7"/>
        <v>139.72574627504957</v>
      </c>
      <c r="I9" s="3">
        <f>H8+H9</f>
        <v>273.28793338567522</v>
      </c>
      <c r="K9" s="122" t="str">
        <f t="shared" si="8"/>
        <v>1 testa</v>
      </c>
      <c r="L9" s="3">
        <f t="shared" si="8"/>
        <v>82.150137612654888</v>
      </c>
      <c r="M9" s="3">
        <f t="shared" si="8"/>
        <v>1494.3714613577381</v>
      </c>
      <c r="N9" s="3">
        <f t="shared" si="9"/>
        <v>224.15571920366071</v>
      </c>
      <c r="O9" s="3">
        <f t="shared" si="9"/>
        <v>331.75046442141786</v>
      </c>
      <c r="P9" s="3">
        <f t="shared" si="9"/>
        <v>335.34179106011896</v>
      </c>
      <c r="Q9" s="3">
        <f t="shared" si="9"/>
        <v>167.67089553005948</v>
      </c>
      <c r="T9" s="253" t="s">
        <v>250</v>
      </c>
      <c r="U9" s="254"/>
      <c r="V9" s="138">
        <v>0.7</v>
      </c>
      <c r="W9" s="138">
        <v>0.7</v>
      </c>
      <c r="X9" s="138">
        <v>0.6</v>
      </c>
      <c r="Z9" s="122" t="s">
        <v>189</v>
      </c>
      <c r="AA9" s="3">
        <f>F19</f>
        <v>497.62569663212679</v>
      </c>
      <c r="AB9" s="3">
        <f>G19</f>
        <v>497.62569663212679</v>
      </c>
      <c r="AC9" s="3"/>
      <c r="AD9" s="30"/>
      <c r="AE9" s="30"/>
      <c r="AF9" s="3"/>
      <c r="AG9" s="3"/>
      <c r="AH9" s="30"/>
      <c r="AI9" s="30"/>
    </row>
    <row r="10" spans="2:43" x14ac:dyDescent="0.25">
      <c r="B10" s="122" t="s">
        <v>189</v>
      </c>
      <c r="C10" s="3"/>
      <c r="D10" s="3"/>
      <c r="E10" s="3"/>
      <c r="F10" s="3">
        <f>0.6*L$15*E9</f>
        <v>414.68808052677235</v>
      </c>
      <c r="G10" s="3"/>
      <c r="H10" s="3"/>
      <c r="I10" s="3"/>
      <c r="K10" s="122" t="str">
        <f>B10</f>
        <v>piede</v>
      </c>
      <c r="L10" s="3"/>
      <c r="M10" s="3"/>
      <c r="N10" s="3"/>
      <c r="O10" s="3">
        <f>F10*1.2</f>
        <v>497.62569663212679</v>
      </c>
      <c r="P10" s="3"/>
      <c r="Q10" s="3"/>
      <c r="T10" s="253" t="s">
        <v>22</v>
      </c>
      <c r="U10" s="254"/>
      <c r="V10" s="138">
        <v>0.7</v>
      </c>
      <c r="W10" s="138">
        <v>0.5</v>
      </c>
      <c r="X10" s="138">
        <v>0.3</v>
      </c>
    </row>
    <row r="11" spans="2:43" x14ac:dyDescent="0.25">
      <c r="T11" s="253" t="s">
        <v>23</v>
      </c>
      <c r="U11" s="254"/>
      <c r="V11" s="165">
        <v>0</v>
      </c>
      <c r="W11" s="165">
        <v>0</v>
      </c>
      <c r="X11" s="165">
        <v>0</v>
      </c>
    </row>
    <row r="12" spans="2:43" x14ac:dyDescent="0.25">
      <c r="B12" s="122" t="s">
        <v>57</v>
      </c>
      <c r="C12" s="122" t="str">
        <f t="shared" ref="C12:E18" si="10">L3</f>
        <v>Fi</v>
      </c>
      <c r="D12" s="122" t="str">
        <f t="shared" si="10"/>
        <v>Vi</v>
      </c>
      <c r="E12" s="122" t="str">
        <f t="shared" si="10"/>
        <v xml:space="preserve">Vpil </v>
      </c>
      <c r="F12" s="122" t="s">
        <v>177</v>
      </c>
      <c r="G12" s="122" t="s">
        <v>180</v>
      </c>
      <c r="H12" s="122" t="str">
        <f t="shared" ref="H12:H18" si="11">P3</f>
        <v>Mtra</v>
      </c>
      <c r="N12" s="169" t="s">
        <v>26</v>
      </c>
      <c r="O12" s="169"/>
      <c r="P12" s="169"/>
      <c r="Q12" s="169"/>
      <c r="T12" s="253" t="s">
        <v>24</v>
      </c>
      <c r="U12" s="254"/>
      <c r="V12" s="138">
        <v>0.6</v>
      </c>
      <c r="W12" s="138">
        <v>0.2</v>
      </c>
      <c r="X12" s="165">
        <v>0</v>
      </c>
      <c r="Z12" s="189" t="s">
        <v>234</v>
      </c>
      <c r="AA12" s="190"/>
      <c r="AB12" s="255"/>
      <c r="AC12" s="8">
        <f>MAX(AB7:AB9)</f>
        <v>508.39967654822999</v>
      </c>
      <c r="AE12" s="191" t="s">
        <v>238</v>
      </c>
      <c r="AF12" s="193"/>
    </row>
    <row r="13" spans="2:43" ht="15.75" customHeight="1" x14ac:dyDescent="0.25">
      <c r="B13" s="122">
        <v>6</v>
      </c>
      <c r="C13" s="3">
        <f t="shared" si="10"/>
        <v>389.81112450667104</v>
      </c>
      <c r="D13" s="3">
        <f t="shared" si="10"/>
        <v>389.81112450667104</v>
      </c>
      <c r="E13" s="3">
        <f t="shared" si="10"/>
        <v>58.471668676000654</v>
      </c>
      <c r="F13" s="3">
        <f t="shared" ref="F13:F19" si="12">O4</f>
        <v>93.554669881601043</v>
      </c>
      <c r="G13" s="3">
        <f t="shared" ref="G13:G18" si="13">1.5*F13</f>
        <v>140.33200482240156</v>
      </c>
      <c r="H13" s="3">
        <f t="shared" si="11"/>
        <v>46.777334940800522</v>
      </c>
      <c r="N13" s="166" t="s">
        <v>27</v>
      </c>
      <c r="O13" s="166"/>
      <c r="P13" s="166"/>
      <c r="Q13" s="58">
        <v>1.3</v>
      </c>
      <c r="T13" s="253" t="s">
        <v>251</v>
      </c>
      <c r="U13" s="254"/>
      <c r="V13" s="138">
        <v>0.5</v>
      </c>
      <c r="W13" s="138">
        <v>0.2</v>
      </c>
      <c r="X13" s="165">
        <v>0</v>
      </c>
      <c r="Z13" s="189" t="s">
        <v>235</v>
      </c>
      <c r="AA13" s="190"/>
      <c r="AB13" s="255"/>
      <c r="AC13" s="8">
        <f>MIN(AB7:AB9)</f>
        <v>497.62569663212679</v>
      </c>
      <c r="AE13" s="58" t="s">
        <v>240</v>
      </c>
      <c r="AF13" s="8">
        <f>AC12</f>
        <v>508.39967654822999</v>
      </c>
      <c r="AH13" s="264" t="s">
        <v>420</v>
      </c>
      <c r="AI13" s="265"/>
      <c r="AJ13" s="265"/>
      <c r="AK13" s="266"/>
    </row>
    <row r="14" spans="2:43" ht="15" customHeight="1" x14ac:dyDescent="0.25">
      <c r="B14" s="122">
        <v>5</v>
      </c>
      <c r="C14" s="3">
        <f t="shared" si="10"/>
        <v>357.11072975834719</v>
      </c>
      <c r="D14" s="3">
        <f t="shared" si="10"/>
        <v>746.92185426501828</v>
      </c>
      <c r="E14" s="3">
        <f t="shared" si="10"/>
        <v>112.03827813975273</v>
      </c>
      <c r="F14" s="3">
        <f t="shared" si="12"/>
        <v>179.2612450236044</v>
      </c>
      <c r="G14" s="3">
        <f t="shared" si="13"/>
        <v>268.89186753540662</v>
      </c>
      <c r="H14" s="3">
        <f t="shared" si="11"/>
        <v>136.40795745260274</v>
      </c>
      <c r="J14" s="167" t="s">
        <v>183</v>
      </c>
      <c r="K14" s="168"/>
      <c r="L14" s="58">
        <v>3.2</v>
      </c>
      <c r="N14" s="166" t="s">
        <v>28</v>
      </c>
      <c r="O14" s="166"/>
      <c r="P14" s="166"/>
      <c r="Q14" s="58">
        <v>1.5</v>
      </c>
      <c r="T14" s="253" t="s">
        <v>252</v>
      </c>
      <c r="U14" s="254"/>
      <c r="V14" s="138">
        <v>0.7</v>
      </c>
      <c r="W14" s="138">
        <v>0.5</v>
      </c>
      <c r="X14" s="165">
        <v>0</v>
      </c>
      <c r="AE14" s="58" t="s">
        <v>241</v>
      </c>
      <c r="AF14" s="8">
        <f>AC16</f>
        <v>70.76416566199967</v>
      </c>
      <c r="AH14" s="257" t="s">
        <v>223</v>
      </c>
      <c r="AI14" s="257"/>
      <c r="AJ14" s="257"/>
      <c r="AK14" s="58">
        <v>30</v>
      </c>
    </row>
    <row r="15" spans="2:43" ht="18" x14ac:dyDescent="0.25">
      <c r="B15" s="122">
        <v>4</v>
      </c>
      <c r="C15" s="3">
        <f t="shared" si="10"/>
        <v>287.85289125975868</v>
      </c>
      <c r="D15" s="3">
        <f t="shared" si="10"/>
        <v>1034.774745524777</v>
      </c>
      <c r="E15" s="3">
        <f t="shared" si="10"/>
        <v>155.21621182871655</v>
      </c>
      <c r="F15" s="3">
        <f t="shared" si="12"/>
        <v>248.34593892594648</v>
      </c>
      <c r="G15" s="3">
        <f t="shared" si="13"/>
        <v>372.51890838891973</v>
      </c>
      <c r="H15" s="3">
        <f t="shared" si="11"/>
        <v>213.80359197477546</v>
      </c>
      <c r="J15" s="167" t="s">
        <v>184</v>
      </c>
      <c r="K15" s="168"/>
      <c r="L15" s="58">
        <v>3.7</v>
      </c>
      <c r="N15" s="166" t="s">
        <v>29</v>
      </c>
      <c r="O15" s="166"/>
      <c r="P15" s="166"/>
      <c r="Q15" s="58">
        <v>1</v>
      </c>
      <c r="T15" s="253" t="s">
        <v>25</v>
      </c>
      <c r="U15" s="254"/>
      <c r="V15" s="138">
        <v>0.6</v>
      </c>
      <c r="W15" s="138">
        <v>0.5</v>
      </c>
      <c r="X15" s="165">
        <v>0</v>
      </c>
      <c r="Z15" s="126" t="s">
        <v>236</v>
      </c>
      <c r="AA15" s="127"/>
      <c r="AB15" s="132"/>
      <c r="AC15" s="8">
        <f>MAX(AH3:AH8)</f>
        <v>1609.9319000785129</v>
      </c>
      <c r="AE15" s="58" t="s">
        <v>242</v>
      </c>
      <c r="AF15" s="8">
        <f>AC13</f>
        <v>497.62569663212679</v>
      </c>
      <c r="AH15" s="257" t="s">
        <v>224</v>
      </c>
      <c r="AI15" s="257"/>
      <c r="AJ15" s="257"/>
      <c r="AK15" s="58">
        <v>70</v>
      </c>
    </row>
    <row r="16" spans="2:43" ht="18" x14ac:dyDescent="0.25">
      <c r="B16" s="122">
        <v>3</v>
      </c>
      <c r="C16" s="3">
        <f t="shared" si="10"/>
        <v>224.24767294265254</v>
      </c>
      <c r="D16" s="3">
        <f t="shared" si="10"/>
        <v>1259.0224184674296</v>
      </c>
      <c r="E16" s="3">
        <f t="shared" si="10"/>
        <v>188.85336277011444</v>
      </c>
      <c r="F16" s="3">
        <f t="shared" si="12"/>
        <v>302.1653804321831</v>
      </c>
      <c r="G16" s="3">
        <f t="shared" si="13"/>
        <v>453.24807064827462</v>
      </c>
      <c r="H16" s="3">
        <f t="shared" si="11"/>
        <v>275.25565967906482</v>
      </c>
      <c r="Z16" s="189" t="s">
        <v>237</v>
      </c>
      <c r="AA16" s="190"/>
      <c r="AB16" s="255"/>
      <c r="AC16" s="8">
        <f>MIN(AI3:AI8)</f>
        <v>70.76416566199967</v>
      </c>
      <c r="AE16" s="22" t="s">
        <v>239</v>
      </c>
      <c r="AF16" s="8">
        <f>AC15</f>
        <v>1609.9319000785129</v>
      </c>
    </row>
    <row r="17" spans="2:26" x14ac:dyDescent="0.25">
      <c r="B17" s="122">
        <v>2</v>
      </c>
      <c r="C17" s="3">
        <f t="shared" si="10"/>
        <v>153.19890527765372</v>
      </c>
      <c r="D17" s="3">
        <f t="shared" si="10"/>
        <v>1412.2213237450833</v>
      </c>
      <c r="E17" s="3">
        <f t="shared" si="10"/>
        <v>211.83319856176249</v>
      </c>
      <c r="F17" s="3">
        <f t="shared" si="12"/>
        <v>338.93311769882001</v>
      </c>
      <c r="G17" s="3">
        <f t="shared" si="13"/>
        <v>508.39967654822999</v>
      </c>
      <c r="H17" s="3">
        <f t="shared" si="11"/>
        <v>320.54924906550156</v>
      </c>
      <c r="J17" s="167" t="s">
        <v>197</v>
      </c>
      <c r="K17" s="168"/>
      <c r="L17" s="41">
        <v>8</v>
      </c>
      <c r="U17" s="23"/>
      <c r="V17" s="23"/>
      <c r="W17" s="23"/>
    </row>
    <row r="18" spans="2:26" x14ac:dyDescent="0.25">
      <c r="B18" s="122" t="s">
        <v>188</v>
      </c>
      <c r="C18" s="3">
        <f t="shared" si="10"/>
        <v>82.150137612654888</v>
      </c>
      <c r="D18" s="3">
        <f t="shared" si="10"/>
        <v>1494.3714613577381</v>
      </c>
      <c r="E18" s="3">
        <f t="shared" si="10"/>
        <v>224.15571920366071</v>
      </c>
      <c r="F18" s="3">
        <f t="shared" si="12"/>
        <v>331.75046442141786</v>
      </c>
      <c r="G18" s="3">
        <f t="shared" si="13"/>
        <v>497.62569663212679</v>
      </c>
      <c r="H18" s="3">
        <f t="shared" si="11"/>
        <v>335.34179106011896</v>
      </c>
      <c r="J18" s="167" t="s">
        <v>198</v>
      </c>
      <c r="K18" s="168"/>
      <c r="L18" s="58">
        <v>10</v>
      </c>
    </row>
    <row r="19" spans="2:26" ht="15" customHeight="1" x14ac:dyDescent="0.25">
      <c r="B19" s="122" t="s">
        <v>189</v>
      </c>
      <c r="C19" s="3"/>
      <c r="D19" s="3"/>
      <c r="E19" s="3"/>
      <c r="F19" s="3">
        <f t="shared" si="12"/>
        <v>497.62569663212679</v>
      </c>
      <c r="G19" s="3">
        <f>F19</f>
        <v>497.62569663212679</v>
      </c>
      <c r="H19" s="3"/>
    </row>
    <row r="20" spans="2:26" ht="15" customHeight="1" x14ac:dyDescent="0.25"/>
    <row r="21" spans="2:26" ht="15" customHeight="1" x14ac:dyDescent="0.25">
      <c r="C21" s="267" t="s">
        <v>419</v>
      </c>
      <c r="D21" s="268"/>
      <c r="E21" s="268"/>
      <c r="F21" s="268"/>
      <c r="G21" s="268"/>
      <c r="H21" s="268"/>
      <c r="I21" s="268"/>
      <c r="J21" s="268"/>
      <c r="K21" s="268"/>
      <c r="L21" s="268"/>
      <c r="M21" s="268"/>
      <c r="N21" s="268"/>
      <c r="O21" s="268"/>
      <c r="P21" s="268"/>
      <c r="Q21" s="268"/>
      <c r="R21" s="268"/>
      <c r="S21" s="268"/>
      <c r="T21" s="268"/>
      <c r="U21" s="268"/>
      <c r="V21" s="268"/>
      <c r="W21" s="268"/>
      <c r="X21" s="268"/>
      <c r="Y21" s="268"/>
      <c r="Z21" s="269"/>
    </row>
    <row r="22" spans="2:26" ht="15" customHeight="1" x14ac:dyDescent="0.25">
      <c r="C22" s="270"/>
      <c r="D22" s="271"/>
      <c r="E22" s="271"/>
      <c r="F22" s="271"/>
      <c r="G22" s="271"/>
      <c r="H22" s="271"/>
      <c r="I22" s="271"/>
      <c r="J22" s="271"/>
      <c r="K22" s="271"/>
      <c r="L22" s="271"/>
      <c r="M22" s="271"/>
      <c r="N22" s="271"/>
      <c r="O22" s="271"/>
      <c r="P22" s="271"/>
      <c r="Q22" s="271"/>
      <c r="R22" s="271"/>
      <c r="S22" s="271"/>
      <c r="T22" s="271"/>
      <c r="U22" s="271"/>
      <c r="V22" s="271"/>
      <c r="W22" s="271"/>
      <c r="X22" s="271"/>
      <c r="Y22" s="271"/>
      <c r="Z22" s="272"/>
    </row>
    <row r="23" spans="2:26" ht="15" customHeight="1" x14ac:dyDescent="0.25">
      <c r="C23" s="263" t="s">
        <v>217</v>
      </c>
      <c r="D23" s="263"/>
      <c r="E23" s="263"/>
      <c r="F23" s="263"/>
      <c r="H23" s="246" t="s">
        <v>418</v>
      </c>
      <c r="I23" s="247"/>
      <c r="J23" s="247"/>
      <c r="K23" s="247"/>
      <c r="L23" s="247"/>
      <c r="M23" s="247"/>
      <c r="N23" s="247"/>
      <c r="O23" s="247"/>
      <c r="P23" s="248"/>
      <c r="R23" s="246" t="s">
        <v>417</v>
      </c>
      <c r="S23" s="247"/>
      <c r="T23" s="247"/>
      <c r="U23" s="247"/>
      <c r="V23" s="247"/>
      <c r="W23" s="247"/>
      <c r="X23" s="247"/>
      <c r="Y23" s="247"/>
      <c r="Z23" s="248"/>
    </row>
    <row r="24" spans="2:26" ht="18.75" customHeight="1" x14ac:dyDescent="0.25">
      <c r="C24" s="284" t="s">
        <v>122</v>
      </c>
      <c r="D24" s="285"/>
      <c r="E24" s="285"/>
      <c r="F24" s="286"/>
      <c r="H24" s="189" t="s">
        <v>218</v>
      </c>
      <c r="I24" s="190"/>
      <c r="J24" s="190"/>
      <c r="K24" s="190"/>
      <c r="L24" s="50">
        <f>(F32*4.5^2)/10</f>
        <v>69.854384812500001</v>
      </c>
      <c r="O24" s="191" t="s">
        <v>226</v>
      </c>
      <c r="P24" s="193"/>
      <c r="R24" s="189" t="str">
        <f>H24</f>
        <v>Momento per carichi verticali da sisma M [kNm]</v>
      </c>
      <c r="S24" s="190"/>
      <c r="T24" s="190"/>
      <c r="U24" s="190"/>
      <c r="V24" s="50">
        <v>70</v>
      </c>
      <c r="W24" s="91"/>
      <c r="X24" s="91"/>
      <c r="Y24" s="91"/>
      <c r="Z24" s="92"/>
    </row>
    <row r="25" spans="2:26" ht="18" x14ac:dyDescent="0.25">
      <c r="C25" s="119"/>
      <c r="D25" s="122" t="s">
        <v>140</v>
      </c>
      <c r="E25" s="122" t="s">
        <v>141</v>
      </c>
      <c r="F25" s="122" t="s">
        <v>202</v>
      </c>
      <c r="H25" s="189" t="s">
        <v>219</v>
      </c>
      <c r="I25" s="190"/>
      <c r="J25" s="190"/>
      <c r="K25" s="190"/>
      <c r="L25" s="3">
        <f>MAX(H16:H18)</f>
        <v>335.34179106011896</v>
      </c>
      <c r="O25" s="305" t="s">
        <v>181</v>
      </c>
      <c r="P25" s="306"/>
      <c r="R25" s="189" t="str">
        <f>H25</f>
        <v>Momento per azione sismica M [kNm]</v>
      </c>
      <c r="S25" s="190"/>
      <c r="T25" s="190"/>
      <c r="U25" s="190"/>
      <c r="V25" s="3">
        <f>H15</f>
        <v>213.80359197477546</v>
      </c>
      <c r="W25" s="91"/>
      <c r="X25" s="91"/>
      <c r="Y25" s="91"/>
      <c r="Z25" s="92"/>
    </row>
    <row r="26" spans="2:26" ht="15" customHeight="1" x14ac:dyDescent="0.25">
      <c r="C26" s="119" t="s">
        <v>142</v>
      </c>
      <c r="D26" s="5">
        <f>(5.3/2)</f>
        <v>2.65</v>
      </c>
      <c r="E26" s="5">
        <f>'Campate  del 1° 2° 3° impalcato'!I14</f>
        <v>10.056335000000001</v>
      </c>
      <c r="F26" s="5">
        <f>'Campate  del 1° 2° 3° impalcato'!J14</f>
        <v>6.0279500000000006</v>
      </c>
      <c r="H26" s="287" t="s">
        <v>220</v>
      </c>
      <c r="I26" s="288"/>
      <c r="J26" s="288"/>
      <c r="K26" s="288"/>
      <c r="L26" s="3">
        <f>L24+L25</f>
        <v>405.19617587261894</v>
      </c>
      <c r="O26" s="305" t="s">
        <v>182</v>
      </c>
      <c r="P26" s="306"/>
      <c r="R26" s="287" t="str">
        <f>H26</f>
        <v>Momento massimo totale M [kNm]</v>
      </c>
      <c r="S26" s="288"/>
      <c r="T26" s="288"/>
      <c r="U26" s="288"/>
      <c r="V26" s="3">
        <f>SUM(V24:V25)</f>
        <v>283.80359197477549</v>
      </c>
      <c r="W26" s="91"/>
      <c r="X26" s="91"/>
      <c r="Y26" s="91"/>
      <c r="Z26" s="92"/>
    </row>
    <row r="27" spans="2:26" ht="15" customHeight="1" x14ac:dyDescent="0.25">
      <c r="C27" s="119" t="s">
        <v>143</v>
      </c>
      <c r="D27" s="5">
        <v>1.5</v>
      </c>
      <c r="E27" s="5">
        <f>'Campate  del 1° 2° 3° impalcato'!I15</f>
        <v>10.560335</v>
      </c>
      <c r="F27" s="5">
        <f>'Campate  del 1° 2° 3° impalcato'!J15</f>
        <v>5.9079499999999996</v>
      </c>
      <c r="R27" s="90"/>
      <c r="S27" s="91"/>
      <c r="T27" s="91"/>
      <c r="U27" s="91"/>
      <c r="V27" s="91"/>
      <c r="W27" s="91"/>
      <c r="X27" s="91"/>
      <c r="Y27" s="91"/>
      <c r="Z27" s="92"/>
    </row>
    <row r="28" spans="2:26" ht="15.75" x14ac:dyDescent="0.25">
      <c r="C28" s="119" t="s">
        <v>145</v>
      </c>
      <c r="D28" s="5">
        <v>0</v>
      </c>
      <c r="E28" s="5">
        <f>'Campate  del 1° 2° 3° impalcato'!I16</f>
        <v>17.240725948587251</v>
      </c>
      <c r="F28" s="5">
        <f>'Campate  del 1° 2° 3° impalcato'!J16</f>
        <v>11.04671226814404</v>
      </c>
      <c r="H28" s="296" t="s">
        <v>222</v>
      </c>
      <c r="I28" s="297"/>
      <c r="J28" s="297"/>
      <c r="K28" s="298"/>
      <c r="R28" s="296" t="s">
        <v>222</v>
      </c>
      <c r="S28" s="297"/>
      <c r="T28" s="297"/>
      <c r="U28" s="298"/>
      <c r="V28" s="91"/>
      <c r="W28" s="91"/>
      <c r="X28" s="91"/>
      <c r="Y28" s="91"/>
      <c r="Z28" s="92"/>
    </row>
    <row r="29" spans="2:26" ht="15.75" x14ac:dyDescent="0.25">
      <c r="C29" s="120" t="s">
        <v>146</v>
      </c>
      <c r="D29" s="121"/>
      <c r="E29" s="5">
        <f>'Campate  del 1° 2° 3° impalcato'!I17</f>
        <v>7.8000000000000007</v>
      </c>
      <c r="F29" s="5">
        <f>'Campate  del 1° 2° 3° impalcato'!J17</f>
        <v>6</v>
      </c>
      <c r="H29" s="282"/>
      <c r="I29" s="283"/>
      <c r="J29" s="59" t="s">
        <v>223</v>
      </c>
      <c r="K29" s="58">
        <v>30</v>
      </c>
      <c r="M29" s="281" t="s">
        <v>228</v>
      </c>
      <c r="N29" s="281"/>
      <c r="O29" s="281"/>
      <c r="P29" s="281"/>
      <c r="R29" s="282"/>
      <c r="S29" s="283"/>
      <c r="T29" s="59" t="s">
        <v>223</v>
      </c>
      <c r="U29" s="58">
        <v>30</v>
      </c>
      <c r="V29" s="91"/>
      <c r="W29" s="281" t="s">
        <v>228</v>
      </c>
      <c r="X29" s="281"/>
      <c r="Y29" s="281"/>
      <c r="Z29" s="281"/>
    </row>
    <row r="30" spans="2:26" x14ac:dyDescent="0.25">
      <c r="C30" s="273"/>
      <c r="D30" s="274"/>
      <c r="E30" s="5">
        <f>D26*E26+D27*E27+D28*E28+E29</f>
        <v>50.289790249999996</v>
      </c>
      <c r="F30" s="5">
        <f>D26*F26+D27*F27+D28*F28+F29</f>
        <v>30.8359925</v>
      </c>
      <c r="H30" s="257" t="s">
        <v>221</v>
      </c>
      <c r="I30" s="257"/>
      <c r="J30" s="59" t="s">
        <v>224</v>
      </c>
      <c r="K30" s="8">
        <f>K32*100+K31</f>
        <v>66.47711443058887</v>
      </c>
      <c r="M30" s="257" t="s">
        <v>223</v>
      </c>
      <c r="N30" s="257"/>
      <c r="O30" s="257"/>
      <c r="P30" s="58">
        <v>30</v>
      </c>
      <c r="R30" s="257" t="s">
        <v>221</v>
      </c>
      <c r="S30" s="257"/>
      <c r="T30" s="59" t="s">
        <v>224</v>
      </c>
      <c r="U30" s="8">
        <f>U32*100+U31</f>
        <v>56.28742298765868</v>
      </c>
      <c r="V30" s="91"/>
      <c r="W30" s="257" t="s">
        <v>223</v>
      </c>
      <c r="X30" s="257"/>
      <c r="Y30" s="257"/>
      <c r="Z30" s="58">
        <v>30</v>
      </c>
    </row>
    <row r="31" spans="2:26" x14ac:dyDescent="0.25">
      <c r="C31" s="179" t="s">
        <v>201</v>
      </c>
      <c r="D31" s="181"/>
      <c r="E31" s="5">
        <f>(0.3*0.6*1*25)-0.3*2.8</f>
        <v>3.66</v>
      </c>
      <c r="F31" s="5">
        <f>(0.3*0.6*1*25)-0.3*2.8</f>
        <v>3.66</v>
      </c>
      <c r="H31" s="282"/>
      <c r="I31" s="283"/>
      <c r="J31" s="59" t="s">
        <v>225</v>
      </c>
      <c r="K31" s="58">
        <v>4</v>
      </c>
      <c r="M31" s="257" t="s">
        <v>224</v>
      </c>
      <c r="N31" s="257"/>
      <c r="O31" s="257"/>
      <c r="P31" s="58">
        <v>70</v>
      </c>
      <c r="R31" s="282"/>
      <c r="S31" s="283"/>
      <c r="T31" s="59" t="s">
        <v>225</v>
      </c>
      <c r="U31" s="58">
        <v>4</v>
      </c>
      <c r="V31" s="91"/>
      <c r="W31" s="257" t="s">
        <v>224</v>
      </c>
      <c r="X31" s="257"/>
      <c r="Y31" s="257"/>
      <c r="Z31" s="58">
        <v>60</v>
      </c>
    </row>
    <row r="32" spans="2:26" x14ac:dyDescent="0.25">
      <c r="C32" s="179" t="s">
        <v>109</v>
      </c>
      <c r="D32" s="181"/>
      <c r="E32" s="5">
        <f>SUM(E30:E31)</f>
        <v>53.949790249999992</v>
      </c>
      <c r="F32" s="5">
        <f>SUM(F30:F31)</f>
        <v>34.4959925</v>
      </c>
      <c r="H32" s="250" t="s">
        <v>227</v>
      </c>
      <c r="I32" s="251"/>
      <c r="J32" s="252"/>
      <c r="K32" s="5">
        <f>I33*(L26/(K29*0.01))^0.5</f>
        <v>0.62477114430588876</v>
      </c>
      <c r="R32" s="250" t="s">
        <v>227</v>
      </c>
      <c r="S32" s="251"/>
      <c r="T32" s="252"/>
      <c r="U32" s="5">
        <f>S33*(V26/(U29*0.01))^0.5</f>
        <v>0.52287422987658683</v>
      </c>
      <c r="V32" s="91"/>
      <c r="W32" s="91"/>
      <c r="X32" s="91"/>
      <c r="Y32" s="91"/>
      <c r="Z32" s="92"/>
    </row>
    <row r="33" spans="3:29" x14ac:dyDescent="0.25">
      <c r="H33" s="122" t="s">
        <v>134</v>
      </c>
      <c r="I33" s="31">
        <v>1.7000000000000001E-2</v>
      </c>
      <c r="R33" s="122" t="s">
        <v>134</v>
      </c>
      <c r="S33" s="31">
        <v>1.7000000000000001E-2</v>
      </c>
      <c r="T33" s="26"/>
      <c r="U33" s="26"/>
      <c r="V33" s="26"/>
      <c r="W33" s="26"/>
      <c r="X33" s="26"/>
      <c r="Y33" s="26"/>
      <c r="Z33" s="164"/>
    </row>
    <row r="34" spans="3:29" ht="18.75" customHeight="1" x14ac:dyDescent="0.25">
      <c r="AC34" s="51"/>
    </row>
    <row r="35" spans="3:29" ht="18.75" customHeight="1" x14ac:dyDescent="0.25">
      <c r="C35" s="267" t="s">
        <v>416</v>
      </c>
      <c r="D35" s="268"/>
      <c r="E35" s="268"/>
      <c r="F35" s="268"/>
      <c r="G35" s="268"/>
      <c r="H35" s="268"/>
      <c r="I35" s="268"/>
      <c r="J35" s="268"/>
      <c r="K35" s="268"/>
      <c r="L35" s="268"/>
      <c r="M35" s="268"/>
      <c r="N35" s="268"/>
      <c r="O35" s="269"/>
      <c r="AC35" s="51"/>
    </row>
    <row r="36" spans="3:29" x14ac:dyDescent="0.25">
      <c r="C36" s="270"/>
      <c r="D36" s="271"/>
      <c r="E36" s="271"/>
      <c r="F36" s="271"/>
      <c r="G36" s="271"/>
      <c r="H36" s="271"/>
      <c r="I36" s="271"/>
      <c r="J36" s="271"/>
      <c r="K36" s="271"/>
      <c r="L36" s="271"/>
      <c r="M36" s="271"/>
      <c r="N36" s="271"/>
      <c r="O36" s="272"/>
    </row>
    <row r="37" spans="3:29" ht="15" customHeight="1" x14ac:dyDescent="0.25">
      <c r="C37" s="275" t="s">
        <v>208</v>
      </c>
      <c r="D37" s="276"/>
      <c r="E37" s="276"/>
      <c r="F37" s="277"/>
      <c r="G37" s="259"/>
      <c r="H37" s="217"/>
      <c r="I37" s="260"/>
      <c r="J37" s="278"/>
      <c r="K37" s="280" t="s">
        <v>415</v>
      </c>
      <c r="L37" s="280"/>
      <c r="M37" s="280"/>
      <c r="N37" s="260"/>
      <c r="O37" s="278"/>
    </row>
    <row r="38" spans="3:29" ht="15" customHeight="1" x14ac:dyDescent="0.25">
      <c r="C38" s="119"/>
      <c r="D38" s="122" t="s">
        <v>140</v>
      </c>
      <c r="E38" s="122" t="s">
        <v>141</v>
      </c>
      <c r="F38" s="122" t="s">
        <v>202</v>
      </c>
      <c r="G38" s="260"/>
      <c r="H38" s="261"/>
      <c r="I38" s="262"/>
      <c r="J38" s="279"/>
      <c r="K38" s="307" t="s">
        <v>414</v>
      </c>
      <c r="L38" s="307"/>
      <c r="M38" s="163">
        <f>(E45*4.8^2)/10</f>
        <v>31.602435839999998</v>
      </c>
      <c r="N38" s="262"/>
      <c r="O38" s="279"/>
    </row>
    <row r="39" spans="3:29" ht="15" customHeight="1" x14ac:dyDescent="0.25">
      <c r="C39" s="119" t="s">
        <v>142</v>
      </c>
      <c r="D39" s="5">
        <v>1</v>
      </c>
      <c r="E39" s="5">
        <f>'Campate  del 1° 2° 3° impalcato'!I59</f>
        <v>10.056335000000001</v>
      </c>
      <c r="F39" s="5">
        <f>'Campate  del 1° 2° 3° impalcato'!J59</f>
        <v>6.0279500000000006</v>
      </c>
      <c r="G39" s="260"/>
      <c r="H39" s="261"/>
      <c r="I39" s="256" t="s">
        <v>413</v>
      </c>
      <c r="J39" s="256"/>
      <c r="K39" s="257" t="s">
        <v>412</v>
      </c>
      <c r="L39" s="257"/>
      <c r="M39" s="312" t="s">
        <v>411</v>
      </c>
      <c r="N39" s="313"/>
      <c r="O39" s="314"/>
    </row>
    <row r="40" spans="3:29" ht="15" customHeight="1" x14ac:dyDescent="0.25">
      <c r="C40" s="119" t="s">
        <v>143</v>
      </c>
      <c r="D40" s="5">
        <v>0</v>
      </c>
      <c r="E40" s="5">
        <f>'Campate  del 1° 2° 3° impalcato'!I60</f>
        <v>10.560335</v>
      </c>
      <c r="F40" s="5">
        <f>'Campate  del 1° 2° 3° impalcato'!J60</f>
        <v>5.9079499999999996</v>
      </c>
      <c r="G40" s="260"/>
      <c r="H40" s="261"/>
      <c r="I40" s="58" t="s">
        <v>410</v>
      </c>
      <c r="J40" s="58">
        <f>0.04</f>
        <v>0.04</v>
      </c>
      <c r="K40" s="2" t="s">
        <v>409</v>
      </c>
      <c r="L40" s="58">
        <v>0.22</v>
      </c>
      <c r="M40" s="58" t="s">
        <v>408</v>
      </c>
      <c r="N40" s="13">
        <f>J43^2*M38/K42^2</f>
        <v>0.27685001920450686</v>
      </c>
      <c r="O40" s="162">
        <v>0.35</v>
      </c>
    </row>
    <row r="41" spans="3:29" ht="15" customHeight="1" x14ac:dyDescent="0.25">
      <c r="C41" s="119" t="s">
        <v>145</v>
      </c>
      <c r="D41" s="5">
        <v>0</v>
      </c>
      <c r="E41" s="5">
        <f>'Campate  del 1° 2° 3° impalcato'!I61</f>
        <v>17.240725948587251</v>
      </c>
      <c r="F41" s="5">
        <f>'Campate  del 1° 2° 3° impalcato'!J61</f>
        <v>11.04671226814404</v>
      </c>
      <c r="G41" s="260"/>
      <c r="H41" s="261"/>
      <c r="I41" s="257" t="s">
        <v>407</v>
      </c>
      <c r="J41" s="257"/>
      <c r="K41" s="257"/>
      <c r="L41" s="259"/>
      <c r="M41" s="299" t="s">
        <v>406</v>
      </c>
      <c r="N41" s="299"/>
      <c r="O41" s="161">
        <f>L40</f>
        <v>0.22</v>
      </c>
    </row>
    <row r="42" spans="3:29" ht="15" customHeight="1" x14ac:dyDescent="0.25">
      <c r="C42" s="43" t="s">
        <v>146</v>
      </c>
      <c r="D42" s="44"/>
      <c r="E42" s="5">
        <f>'Campate  del 1° 2° 3° impalcato'!I62</f>
        <v>0</v>
      </c>
      <c r="F42" s="5">
        <f>'Campate  del 1° 2° 3° impalcato'!J62</f>
        <v>0</v>
      </c>
      <c r="G42" s="260"/>
      <c r="H42" s="261"/>
      <c r="I42" s="258" t="s">
        <v>405</v>
      </c>
      <c r="J42" s="258"/>
      <c r="K42" s="2">
        <f>L40-J40</f>
        <v>0.18</v>
      </c>
      <c r="L42" s="262"/>
      <c r="M42" s="299" t="s">
        <v>404</v>
      </c>
      <c r="N42" s="299"/>
      <c r="O42" s="159">
        <f>O40</f>
        <v>0.35</v>
      </c>
    </row>
    <row r="43" spans="3:29" x14ac:dyDescent="0.25">
      <c r="C43" s="273"/>
      <c r="D43" s="274"/>
      <c r="E43" s="5">
        <f>D39*E39+D40*E40+D41*E41+E42</f>
        <v>10.056335000000001</v>
      </c>
      <c r="F43" s="5">
        <f>D39*F39+D40*F40+D41*F41+F42</f>
        <v>6.0279500000000006</v>
      </c>
      <c r="G43" s="260"/>
      <c r="H43" s="261"/>
      <c r="I43" s="125" t="s">
        <v>134</v>
      </c>
      <c r="J43" s="158">
        <v>1.6847462755208178E-2</v>
      </c>
      <c r="K43" s="308"/>
      <c r="L43" s="308"/>
      <c r="M43" s="308"/>
      <c r="N43" s="308"/>
      <c r="O43" s="309"/>
    </row>
    <row r="44" spans="3:29" x14ac:dyDescent="0.25">
      <c r="C44" s="179" t="s">
        <v>201</v>
      </c>
      <c r="D44" s="181"/>
      <c r="E44" s="5">
        <f>(0.3*0.6*1*25)-0.3*2.8</f>
        <v>3.66</v>
      </c>
      <c r="F44" s="5">
        <f>(0.3*0.6*1*25)-0.3*2.8</f>
        <v>3.66</v>
      </c>
      <c r="G44" s="260"/>
      <c r="H44" s="261"/>
      <c r="I44" s="259"/>
      <c r="J44" s="218"/>
      <c r="K44" s="308"/>
      <c r="L44" s="308"/>
      <c r="M44" s="308"/>
      <c r="N44" s="308"/>
      <c r="O44" s="309"/>
    </row>
    <row r="45" spans="3:29" x14ac:dyDescent="0.25">
      <c r="C45" s="179" t="s">
        <v>109</v>
      </c>
      <c r="D45" s="181"/>
      <c r="E45" s="5">
        <f>SUM(E43:E44)</f>
        <v>13.716335000000001</v>
      </c>
      <c r="F45" s="5">
        <f>SUM(F43:F44)</f>
        <v>9.6879500000000007</v>
      </c>
      <c r="G45" s="262"/>
      <c r="H45" s="263"/>
      <c r="I45" s="262"/>
      <c r="J45" s="279"/>
      <c r="K45" s="310"/>
      <c r="L45" s="310"/>
      <c r="M45" s="310"/>
      <c r="N45" s="310"/>
      <c r="O45" s="311"/>
    </row>
    <row r="62" ht="15" customHeight="1" x14ac:dyDescent="0.25"/>
    <row r="63" ht="15" customHeight="1" x14ac:dyDescent="0.25"/>
    <row r="65" ht="18"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5" ht="18"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118" spans="28:28" x14ac:dyDescent="0.25">
      <c r="AB118" s="32"/>
    </row>
  </sheetData>
  <mergeCells count="85">
    <mergeCell ref="H31:I31"/>
    <mergeCell ref="K43:O45"/>
    <mergeCell ref="M39:O39"/>
    <mergeCell ref="R25:U25"/>
    <mergeCell ref="R26:U26"/>
    <mergeCell ref="R28:U28"/>
    <mergeCell ref="R29:S29"/>
    <mergeCell ref="R30:S30"/>
    <mergeCell ref="R31:S31"/>
    <mergeCell ref="T1:U1"/>
    <mergeCell ref="T2:X2"/>
    <mergeCell ref="N13:P13"/>
    <mergeCell ref="J14:K14"/>
    <mergeCell ref="N14:P14"/>
    <mergeCell ref="T3:U3"/>
    <mergeCell ref="T4:U4"/>
    <mergeCell ref="T5:U5"/>
    <mergeCell ref="T6:U6"/>
    <mergeCell ref="T7:U7"/>
    <mergeCell ref="K1:Q2"/>
    <mergeCell ref="T8:U8"/>
    <mergeCell ref="T9:U9"/>
    <mergeCell ref="T10:U10"/>
    <mergeCell ref="T11:U11"/>
    <mergeCell ref="T12:U12"/>
    <mergeCell ref="W31:Y31"/>
    <mergeCell ref="AE12:AF12"/>
    <mergeCell ref="N12:Q12"/>
    <mergeCell ref="M29:P29"/>
    <mergeCell ref="M30:O30"/>
    <mergeCell ref="M31:O31"/>
    <mergeCell ref="O24:P24"/>
    <mergeCell ref="O25:P25"/>
    <mergeCell ref="O26:P26"/>
    <mergeCell ref="W29:Z29"/>
    <mergeCell ref="W30:Y30"/>
    <mergeCell ref="H29:I29"/>
    <mergeCell ref="H30:I30"/>
    <mergeCell ref="C24:F24"/>
    <mergeCell ref="H24:K24"/>
    <mergeCell ref="H25:K25"/>
    <mergeCell ref="H26:K26"/>
    <mergeCell ref="H28:K28"/>
    <mergeCell ref="C45:D45"/>
    <mergeCell ref="C30:D30"/>
    <mergeCell ref="C31:D31"/>
    <mergeCell ref="C32:D32"/>
    <mergeCell ref="C37:F37"/>
    <mergeCell ref="C35:O36"/>
    <mergeCell ref="C43:D43"/>
    <mergeCell ref="I37:J38"/>
    <mergeCell ref="K37:M37"/>
    <mergeCell ref="N37:O38"/>
    <mergeCell ref="H32:J32"/>
    <mergeCell ref="L41:L42"/>
    <mergeCell ref="M41:N41"/>
    <mergeCell ref="M42:N42"/>
    <mergeCell ref="K38:L38"/>
    <mergeCell ref="I44:J45"/>
    <mergeCell ref="AH13:AK13"/>
    <mergeCell ref="AH14:AJ14"/>
    <mergeCell ref="AH15:AJ15"/>
    <mergeCell ref="C21:Z22"/>
    <mergeCell ref="R23:Z23"/>
    <mergeCell ref="C23:F23"/>
    <mergeCell ref="J17:K17"/>
    <mergeCell ref="J15:K15"/>
    <mergeCell ref="N15:P15"/>
    <mergeCell ref="J18:K18"/>
    <mergeCell ref="H23:P23"/>
    <mergeCell ref="AO1:AQ2"/>
    <mergeCell ref="C44:D44"/>
    <mergeCell ref="R32:T32"/>
    <mergeCell ref="T13:U13"/>
    <mergeCell ref="Z12:AB12"/>
    <mergeCell ref="Z13:AB13"/>
    <mergeCell ref="Z16:AB16"/>
    <mergeCell ref="T14:U14"/>
    <mergeCell ref="T15:U15"/>
    <mergeCell ref="R24:U24"/>
    <mergeCell ref="I39:J39"/>
    <mergeCell ref="K39:L39"/>
    <mergeCell ref="I41:K41"/>
    <mergeCell ref="I42:J42"/>
    <mergeCell ref="G37:H45"/>
  </mergeCells>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AQ75"/>
  <sheetViews>
    <sheetView workbookViewId="0">
      <selection activeCell="L2" sqref="L2"/>
    </sheetView>
  </sheetViews>
  <sheetFormatPr defaultRowHeight="15" x14ac:dyDescent="0.25"/>
  <cols>
    <col min="1" max="1" width="3.42578125" style="69" customWidth="1"/>
    <col min="2" max="2" width="9.140625" style="69"/>
    <col min="3" max="3" width="9.140625" style="69" customWidth="1"/>
    <col min="4" max="16384" width="9.140625" style="69"/>
  </cols>
  <sheetData>
    <row r="6" spans="1:43" ht="15.75" x14ac:dyDescent="0.25">
      <c r="C6" s="316" t="s">
        <v>361</v>
      </c>
      <c r="D6" s="316"/>
      <c r="E6" s="316"/>
      <c r="G6" s="316" t="s">
        <v>363</v>
      </c>
      <c r="H6" s="316"/>
      <c r="I6" s="316"/>
      <c r="K6" s="316" t="s">
        <v>364</v>
      </c>
      <c r="L6" s="316"/>
      <c r="M6" s="316"/>
      <c r="AA6" s="166" t="s">
        <v>116</v>
      </c>
      <c r="AB6" s="166"/>
      <c r="AC6" s="122" t="s">
        <v>98</v>
      </c>
      <c r="AD6" s="122" t="s">
        <v>99</v>
      </c>
      <c r="AE6" s="122" t="s">
        <v>100</v>
      </c>
      <c r="AF6" s="122" t="s">
        <v>101</v>
      </c>
      <c r="AG6" s="122" t="s">
        <v>244</v>
      </c>
      <c r="AH6" s="122" t="s">
        <v>245</v>
      </c>
      <c r="AI6" s="122" t="s">
        <v>102</v>
      </c>
      <c r="AJ6"/>
      <c r="AK6" s="182" t="s">
        <v>262</v>
      </c>
      <c r="AL6" s="182"/>
      <c r="AM6" s="182"/>
      <c r="AN6" s="182"/>
      <c r="AO6" s="182"/>
      <c r="AP6" s="182"/>
      <c r="AQ6" s="182"/>
    </row>
    <row r="7" spans="1:43" x14ac:dyDescent="0.25">
      <c r="C7" s="307" t="s">
        <v>362</v>
      </c>
      <c r="D7" s="307"/>
      <c r="E7" s="58">
        <v>2.63</v>
      </c>
      <c r="G7" s="307" t="s">
        <v>365</v>
      </c>
      <c r="H7" s="307"/>
      <c r="I7" s="58">
        <v>0.7</v>
      </c>
      <c r="K7" s="307" t="s">
        <v>365</v>
      </c>
      <c r="L7" s="307"/>
      <c r="M7" s="58">
        <v>0.22</v>
      </c>
      <c r="AA7" s="166" t="s">
        <v>117</v>
      </c>
      <c r="AB7" s="166"/>
      <c r="AC7" s="5">
        <f>'Carichi unitari'!J25</f>
        <v>3.8279500000000004</v>
      </c>
      <c r="AD7" s="5">
        <v>1.6</v>
      </c>
      <c r="AE7" s="5">
        <v>2</v>
      </c>
      <c r="AF7" s="5">
        <f>AC7+AD7+AQ8*AE7</f>
        <v>6.0279500000000006</v>
      </c>
      <c r="AG7" s="5">
        <f>(AC7+AD7)*$AD$19</f>
        <v>7.0563350000000016</v>
      </c>
      <c r="AH7" s="5">
        <f>AE7*AD$20</f>
        <v>3</v>
      </c>
      <c r="AI7" s="5">
        <f>$AG$7+$AH$7</f>
        <v>10.056335000000001</v>
      </c>
      <c r="AJ7"/>
      <c r="AK7" s="317"/>
      <c r="AL7" s="317"/>
      <c r="AM7" s="317"/>
      <c r="AN7" s="317"/>
      <c r="AO7" s="61" t="s">
        <v>14</v>
      </c>
      <c r="AP7" s="61" t="s">
        <v>16</v>
      </c>
      <c r="AQ7" s="61" t="s">
        <v>15</v>
      </c>
    </row>
    <row r="8" spans="1:43" x14ac:dyDescent="0.25">
      <c r="AA8" s="318" t="s">
        <v>106</v>
      </c>
      <c r="AB8" s="318"/>
      <c r="AC8" s="68">
        <f>'Carichi unitari'!J26</f>
        <v>3.09795</v>
      </c>
      <c r="AD8" s="68"/>
      <c r="AE8" s="68">
        <v>0.5</v>
      </c>
      <c r="AF8" s="68">
        <f>AC8+AQ15*AE8</f>
        <v>3.09795</v>
      </c>
      <c r="AG8" s="5">
        <f>AC8*$AD$19</f>
        <v>4.0273349999999999</v>
      </c>
      <c r="AH8" s="5">
        <f>AE8*AD$20</f>
        <v>0.75</v>
      </c>
      <c r="AI8" s="68">
        <f>$AG$8+$AH$8</f>
        <v>4.7773349999999999</v>
      </c>
      <c r="AJ8"/>
      <c r="AK8" s="315" t="s">
        <v>18</v>
      </c>
      <c r="AL8" s="315"/>
      <c r="AM8" s="315"/>
      <c r="AN8" s="315"/>
      <c r="AO8" s="52">
        <v>0.7</v>
      </c>
      <c r="AP8" s="52">
        <v>0.5</v>
      </c>
      <c r="AQ8" s="52">
        <v>0.3</v>
      </c>
    </row>
    <row r="9" spans="1:43" x14ac:dyDescent="0.25">
      <c r="AA9" s="166" t="s">
        <v>118</v>
      </c>
      <c r="AB9" s="166"/>
      <c r="AC9" s="5">
        <f>'Carichi unitari'!J27</f>
        <v>3.5079500000000001</v>
      </c>
      <c r="AD9" s="5"/>
      <c r="AE9" s="5">
        <v>4</v>
      </c>
      <c r="AF9" s="5">
        <f>AC9+AQ$10*AE9</f>
        <v>5.9079499999999996</v>
      </c>
      <c r="AG9" s="5">
        <f t="shared" ref="AG9:AG15" si="0">AC9*$AD$19</f>
        <v>4.5603350000000002</v>
      </c>
      <c r="AH9" s="5">
        <f>AE9*AD$20</f>
        <v>6</v>
      </c>
      <c r="AI9" s="5">
        <f>$AG$9+$AH$9</f>
        <v>10.560335</v>
      </c>
      <c r="AJ9"/>
      <c r="AK9" s="315" t="s">
        <v>17</v>
      </c>
      <c r="AL9" s="315"/>
      <c r="AM9" s="315"/>
      <c r="AN9" s="315"/>
      <c r="AO9" s="52">
        <v>0.7</v>
      </c>
      <c r="AP9" s="52">
        <v>0.5</v>
      </c>
      <c r="AQ9" s="52">
        <v>0.3</v>
      </c>
    </row>
    <row r="10" spans="1:43" ht="18.75" customHeight="1" x14ac:dyDescent="0.25">
      <c r="A10" s="47"/>
      <c r="B10" s="267" t="s">
        <v>216</v>
      </c>
      <c r="C10" s="333"/>
      <c r="D10" s="333"/>
      <c r="E10" s="333"/>
      <c r="F10" s="333"/>
      <c r="G10" s="333"/>
      <c r="H10" s="333"/>
      <c r="I10" s="333"/>
      <c r="J10" s="333"/>
      <c r="K10" s="333"/>
      <c r="L10" s="333"/>
      <c r="M10" s="333"/>
      <c r="N10" s="333"/>
      <c r="O10" s="333"/>
      <c r="P10" s="333"/>
      <c r="Q10" s="333"/>
      <c r="R10" s="333"/>
      <c r="S10" s="333"/>
      <c r="T10" s="333"/>
      <c r="U10" s="333"/>
      <c r="V10" s="333"/>
      <c r="W10" s="333"/>
      <c r="X10" s="333"/>
      <c r="Y10" s="334"/>
      <c r="AA10" s="166" t="s">
        <v>103</v>
      </c>
      <c r="AB10" s="166"/>
      <c r="AC10" s="5">
        <f>'Carichi unitari'!J28</f>
        <v>8.6467122681440394</v>
      </c>
      <c r="AD10" s="5"/>
      <c r="AE10" s="5">
        <v>4</v>
      </c>
      <c r="AF10" s="5">
        <f>AC10+AQ$10*AE10</f>
        <v>11.04671226814404</v>
      </c>
      <c r="AG10" s="5">
        <f t="shared" si="0"/>
        <v>11.240725948587251</v>
      </c>
      <c r="AH10" s="5">
        <f>AE10*AD$20</f>
        <v>6</v>
      </c>
      <c r="AI10" s="5">
        <f>$AG$10+$AH$10</f>
        <v>17.240725948587251</v>
      </c>
      <c r="AJ10"/>
      <c r="AK10" s="315" t="s">
        <v>19</v>
      </c>
      <c r="AL10" s="315"/>
      <c r="AM10" s="315"/>
      <c r="AN10" s="315"/>
      <c r="AO10" s="52">
        <v>0.7</v>
      </c>
      <c r="AP10" s="52">
        <v>0.7</v>
      </c>
      <c r="AQ10" s="52">
        <v>0.6</v>
      </c>
    </row>
    <row r="11" spans="1:43" ht="15" customHeight="1" x14ac:dyDescent="0.25">
      <c r="A11" s="48"/>
      <c r="B11" s="335"/>
      <c r="C11" s="336"/>
      <c r="D11" s="336"/>
      <c r="E11" s="336"/>
      <c r="F11" s="336"/>
      <c r="G11" s="336"/>
      <c r="H11" s="336"/>
      <c r="I11" s="336"/>
      <c r="J11" s="336"/>
      <c r="K11" s="336"/>
      <c r="L11" s="336"/>
      <c r="M11" s="336"/>
      <c r="N11" s="336"/>
      <c r="O11" s="336"/>
      <c r="P11" s="336"/>
      <c r="Q11" s="336"/>
      <c r="R11" s="336"/>
      <c r="S11" s="336"/>
      <c r="T11" s="336"/>
      <c r="U11" s="336"/>
      <c r="V11" s="336"/>
      <c r="W11" s="336"/>
      <c r="X11" s="336"/>
      <c r="Y11" s="337"/>
      <c r="AA11" s="166" t="s">
        <v>104</v>
      </c>
      <c r="AB11" s="166"/>
      <c r="AC11" s="5">
        <f>'Carichi unitari'!J29</f>
        <v>6</v>
      </c>
      <c r="AD11" s="5"/>
      <c r="AE11" s="5"/>
      <c r="AF11" s="5">
        <f>AC11</f>
        <v>6</v>
      </c>
      <c r="AG11" s="5">
        <f t="shared" si="0"/>
        <v>7.8000000000000007</v>
      </c>
      <c r="AH11" s="5"/>
      <c r="AI11" s="5">
        <f>$AG$11</f>
        <v>7.8000000000000007</v>
      </c>
      <c r="AJ11"/>
      <c r="AK11" s="315" t="s">
        <v>20</v>
      </c>
      <c r="AL11" s="315"/>
      <c r="AM11" s="315"/>
      <c r="AN11" s="315"/>
      <c r="AO11" s="52">
        <v>0.7</v>
      </c>
      <c r="AP11" s="52">
        <v>0.7</v>
      </c>
      <c r="AQ11" s="52">
        <v>0.6</v>
      </c>
    </row>
    <row r="12" spans="1:43" ht="18.75" x14ac:dyDescent="0.25">
      <c r="A12" s="49"/>
      <c r="B12" s="284" t="s">
        <v>203</v>
      </c>
      <c r="C12" s="285"/>
      <c r="D12" s="285"/>
      <c r="E12" s="286"/>
      <c r="G12" s="275" t="s">
        <v>122</v>
      </c>
      <c r="H12" s="276"/>
      <c r="I12" s="276"/>
      <c r="J12" s="277"/>
      <c r="L12" s="275" t="s">
        <v>124</v>
      </c>
      <c r="M12" s="276"/>
      <c r="N12" s="276"/>
      <c r="O12" s="277"/>
      <c r="Q12" s="275" t="s">
        <v>127</v>
      </c>
      <c r="R12" s="276"/>
      <c r="S12" s="276"/>
      <c r="T12" s="277"/>
      <c r="V12" s="275" t="s">
        <v>132</v>
      </c>
      <c r="W12" s="276"/>
      <c r="X12" s="276"/>
      <c r="Y12" s="277"/>
      <c r="AA12" s="166" t="s">
        <v>246</v>
      </c>
      <c r="AB12" s="166"/>
      <c r="AC12" s="5">
        <f>'Carichi unitari'!J30</f>
        <v>3.66</v>
      </c>
      <c r="AD12" s="5"/>
      <c r="AE12" s="5"/>
      <c r="AF12" s="5">
        <f>AC12</f>
        <v>3.66</v>
      </c>
      <c r="AG12" s="5">
        <f t="shared" si="0"/>
        <v>4.758</v>
      </c>
      <c r="AH12" s="5"/>
      <c r="AI12" s="5">
        <f>AG12</f>
        <v>4.758</v>
      </c>
      <c r="AJ12"/>
      <c r="AK12" s="315" t="s">
        <v>21</v>
      </c>
      <c r="AL12" s="315"/>
      <c r="AM12" s="315"/>
      <c r="AN12" s="315"/>
      <c r="AO12" s="52">
        <v>1</v>
      </c>
      <c r="AP12" s="52">
        <v>0.9</v>
      </c>
      <c r="AQ12" s="52">
        <v>0.8</v>
      </c>
    </row>
    <row r="13" spans="1:43" ht="18" x14ac:dyDescent="0.25">
      <c r="A13" s="12"/>
      <c r="B13" s="119"/>
      <c r="C13" s="122" t="s">
        <v>140</v>
      </c>
      <c r="D13" s="122" t="s">
        <v>141</v>
      </c>
      <c r="E13" s="122" t="s">
        <v>202</v>
      </c>
      <c r="G13" s="119"/>
      <c r="H13" s="122" t="s">
        <v>140</v>
      </c>
      <c r="I13" s="122" t="s">
        <v>141</v>
      </c>
      <c r="J13" s="122" t="s">
        <v>202</v>
      </c>
      <c r="L13" s="119"/>
      <c r="M13" s="122" t="s">
        <v>140</v>
      </c>
      <c r="N13" s="122" t="s">
        <v>141</v>
      </c>
      <c r="O13" s="122" t="s">
        <v>202</v>
      </c>
      <c r="Q13" s="119"/>
      <c r="R13" s="122" t="s">
        <v>140</v>
      </c>
      <c r="S13" s="122" t="s">
        <v>141</v>
      </c>
      <c r="T13" s="122" t="s">
        <v>202</v>
      </c>
      <c r="V13" s="119"/>
      <c r="W13" s="122" t="s">
        <v>140</v>
      </c>
      <c r="X13" s="122" t="s">
        <v>141</v>
      </c>
      <c r="Y13" s="122" t="s">
        <v>202</v>
      </c>
      <c r="AA13" s="166" t="s">
        <v>256</v>
      </c>
      <c r="AB13" s="166"/>
      <c r="AC13" s="5">
        <f>'Carichi unitari'!J31</f>
        <v>0.81000000000000016</v>
      </c>
      <c r="AD13" s="5"/>
      <c r="AE13" s="5"/>
      <c r="AF13" s="5">
        <f>AC13</f>
        <v>0.81000000000000016</v>
      </c>
      <c r="AG13" s="5">
        <f t="shared" si="0"/>
        <v>1.0530000000000002</v>
      </c>
      <c r="AH13" s="5"/>
      <c r="AI13" s="5">
        <f>AG13</f>
        <v>1.0530000000000002</v>
      </c>
      <c r="AJ13"/>
      <c r="AK13" s="315" t="s">
        <v>284</v>
      </c>
      <c r="AL13" s="315"/>
      <c r="AM13" s="315"/>
      <c r="AN13" s="315"/>
      <c r="AO13" s="53">
        <v>0.7</v>
      </c>
      <c r="AP13" s="53">
        <v>0.7</v>
      </c>
      <c r="AQ13" s="53">
        <v>0.6</v>
      </c>
    </row>
    <row r="14" spans="1:43" x14ac:dyDescent="0.25">
      <c r="A14" s="12"/>
      <c r="B14" s="119" t="s">
        <v>142</v>
      </c>
      <c r="C14" s="5">
        <f>(5.3/2)</f>
        <v>2.65</v>
      </c>
      <c r="D14" s="5">
        <f>$AI$7</f>
        <v>10.056335000000001</v>
      </c>
      <c r="E14" s="5">
        <f>$AF$7</f>
        <v>6.0279500000000006</v>
      </c>
      <c r="G14" s="119" t="s">
        <v>142</v>
      </c>
      <c r="H14" s="5">
        <f>(5.3/2)</f>
        <v>2.65</v>
      </c>
      <c r="I14" s="5">
        <f>$AI$7</f>
        <v>10.056335000000001</v>
      </c>
      <c r="J14" s="5">
        <f>$AF$7</f>
        <v>6.0279500000000006</v>
      </c>
      <c r="L14" s="119" t="s">
        <v>142</v>
      </c>
      <c r="M14" s="5">
        <v>0</v>
      </c>
      <c r="N14" s="5">
        <f>$AI$7</f>
        <v>10.056335000000001</v>
      </c>
      <c r="O14" s="5">
        <f>$AF$7</f>
        <v>6.0279500000000006</v>
      </c>
      <c r="Q14" s="119" t="s">
        <v>142</v>
      </c>
      <c r="R14" s="5">
        <f>(5.3/2)</f>
        <v>2.65</v>
      </c>
      <c r="S14" s="5">
        <f>$AI$7</f>
        <v>10.056335000000001</v>
      </c>
      <c r="T14" s="5">
        <f>$AF$7</f>
        <v>6.0279500000000006</v>
      </c>
      <c r="V14" s="119" t="s">
        <v>142</v>
      </c>
      <c r="W14" s="5">
        <f>(5.3/2)</f>
        <v>2.65</v>
      </c>
      <c r="X14" s="5">
        <f>$AI$7</f>
        <v>10.056335000000001</v>
      </c>
      <c r="Y14" s="5">
        <f>$AF$7</f>
        <v>6.0279500000000006</v>
      </c>
      <c r="AA14" s="166" t="s">
        <v>257</v>
      </c>
      <c r="AB14" s="166"/>
      <c r="AC14" s="5">
        <f>'Carichi unitari'!J32</f>
        <v>14.069999999999999</v>
      </c>
      <c r="AD14" s="5"/>
      <c r="AE14" s="5"/>
      <c r="AF14" s="5">
        <f>AC14</f>
        <v>14.069999999999999</v>
      </c>
      <c r="AG14" s="5">
        <f t="shared" si="0"/>
        <v>18.291</v>
      </c>
      <c r="AH14" s="5"/>
      <c r="AI14" s="5">
        <f>$AG$14</f>
        <v>18.291</v>
      </c>
      <c r="AJ14"/>
      <c r="AK14" s="315" t="s">
        <v>22</v>
      </c>
      <c r="AL14" s="315"/>
      <c r="AM14" s="315"/>
      <c r="AN14" s="315"/>
      <c r="AO14" s="53">
        <v>0.7</v>
      </c>
      <c r="AP14" s="53">
        <v>0.5</v>
      </c>
      <c r="AQ14" s="53">
        <v>0.3</v>
      </c>
    </row>
    <row r="15" spans="1:43" x14ac:dyDescent="0.25">
      <c r="A15" s="12"/>
      <c r="B15" s="119" t="s">
        <v>143</v>
      </c>
      <c r="C15" s="5">
        <v>0</v>
      </c>
      <c r="D15" s="5">
        <f>$AI$9</f>
        <v>10.560335</v>
      </c>
      <c r="E15" s="5">
        <f>$AF$9</f>
        <v>5.9079499999999996</v>
      </c>
      <c r="G15" s="119" t="s">
        <v>143</v>
      </c>
      <c r="H15" s="5">
        <v>1.5</v>
      </c>
      <c r="I15" s="5">
        <f>$AI$9</f>
        <v>10.560335</v>
      </c>
      <c r="J15" s="5">
        <f>$AF$9</f>
        <v>5.9079499999999996</v>
      </c>
      <c r="L15" s="119" t="s">
        <v>143</v>
      </c>
      <c r="M15" s="5">
        <v>0</v>
      </c>
      <c r="N15" s="5">
        <f>$AI$9</f>
        <v>10.560335</v>
      </c>
      <c r="O15" s="5">
        <f>$AF$9</f>
        <v>5.9079499999999996</v>
      </c>
      <c r="Q15" s="119" t="s">
        <v>143</v>
      </c>
      <c r="R15" s="5">
        <v>1.5</v>
      </c>
      <c r="S15" s="5">
        <f>$AI$9</f>
        <v>10.560335</v>
      </c>
      <c r="T15" s="5">
        <f>$AF$9</f>
        <v>5.9079499999999996</v>
      </c>
      <c r="V15" s="119" t="s">
        <v>143</v>
      </c>
      <c r="W15" s="5">
        <v>0</v>
      </c>
      <c r="X15" s="5">
        <f>$AI$9</f>
        <v>10.560335</v>
      </c>
      <c r="Y15" s="5">
        <f>$AF$9</f>
        <v>5.9079499999999996</v>
      </c>
      <c r="AA15" s="166" t="s">
        <v>119</v>
      </c>
      <c r="AB15" s="166"/>
      <c r="AC15" s="5">
        <f>'Carichi unitari'!J33</f>
        <v>3.66</v>
      </c>
      <c r="AD15" s="5"/>
      <c r="AE15" s="5"/>
      <c r="AF15" s="5">
        <f>AF12</f>
        <v>3.66</v>
      </c>
      <c r="AG15" s="5">
        <f t="shared" si="0"/>
        <v>4.758</v>
      </c>
      <c r="AH15" s="5"/>
      <c r="AI15" s="5">
        <f>AI12</f>
        <v>4.758</v>
      </c>
      <c r="AJ15"/>
      <c r="AK15" s="315" t="s">
        <v>23</v>
      </c>
      <c r="AL15" s="315"/>
      <c r="AM15" s="315"/>
      <c r="AN15" s="315"/>
      <c r="AO15" s="52">
        <v>0</v>
      </c>
      <c r="AP15" s="52">
        <v>0</v>
      </c>
      <c r="AQ15" s="52">
        <v>0</v>
      </c>
    </row>
    <row r="16" spans="1:43" x14ac:dyDescent="0.25">
      <c r="A16" s="12"/>
      <c r="B16" s="119" t="s">
        <v>145</v>
      </c>
      <c r="C16" s="5">
        <v>0</v>
      </c>
      <c r="D16" s="5">
        <f>$AI$10</f>
        <v>17.240725948587251</v>
      </c>
      <c r="E16" s="5">
        <f>$AF$10</f>
        <v>11.04671226814404</v>
      </c>
      <c r="G16" s="119" t="s">
        <v>145</v>
      </c>
      <c r="H16" s="5">
        <v>0</v>
      </c>
      <c r="I16" s="5">
        <f>$AI$10</f>
        <v>17.240725948587251</v>
      </c>
      <c r="J16" s="5">
        <f>$AF$10</f>
        <v>11.04671226814404</v>
      </c>
      <c r="L16" s="119" t="s">
        <v>145</v>
      </c>
      <c r="M16" s="5">
        <f>(5.5/2)</f>
        <v>2.75</v>
      </c>
      <c r="N16" s="5">
        <f>$AI$10</f>
        <v>17.240725948587251</v>
      </c>
      <c r="O16" s="5">
        <f>$AF$10</f>
        <v>11.04671226814404</v>
      </c>
      <c r="Q16" s="119" t="s">
        <v>145</v>
      </c>
      <c r="R16" s="5">
        <v>0</v>
      </c>
      <c r="S16" s="5">
        <f>$AI$10</f>
        <v>17.240725948587251</v>
      </c>
      <c r="T16" s="5">
        <f>$AF$10</f>
        <v>11.04671226814404</v>
      </c>
      <c r="V16" s="119" t="s">
        <v>145</v>
      </c>
      <c r="W16" s="5">
        <v>0</v>
      </c>
      <c r="X16" s="5">
        <f>$AI$10</f>
        <v>17.240725948587251</v>
      </c>
      <c r="Y16" s="5">
        <f>$AF$10</f>
        <v>11.04671226814404</v>
      </c>
      <c r="AA16"/>
      <c r="AB16"/>
      <c r="AC16"/>
      <c r="AD16"/>
      <c r="AE16"/>
      <c r="AF16"/>
      <c r="AG16"/>
      <c r="AH16"/>
      <c r="AI16"/>
      <c r="AJ16"/>
      <c r="AK16" s="315" t="s">
        <v>24</v>
      </c>
      <c r="AL16" s="315"/>
      <c r="AM16" s="315"/>
      <c r="AN16" s="315"/>
      <c r="AO16" s="53">
        <v>0.6</v>
      </c>
      <c r="AP16" s="53">
        <v>0.2</v>
      </c>
      <c r="AQ16" s="52">
        <v>0</v>
      </c>
    </row>
    <row r="17" spans="1:43" x14ac:dyDescent="0.25">
      <c r="A17" s="12"/>
      <c r="B17" s="167" t="s">
        <v>146</v>
      </c>
      <c r="C17" s="168"/>
      <c r="D17" s="5">
        <f>$AI$11</f>
        <v>7.8000000000000007</v>
      </c>
      <c r="E17" s="5">
        <f>$AF$11</f>
        <v>6</v>
      </c>
      <c r="G17" s="167" t="s">
        <v>146</v>
      </c>
      <c r="H17" s="168"/>
      <c r="I17" s="5">
        <f>$AI$11</f>
        <v>7.8000000000000007</v>
      </c>
      <c r="J17" s="5">
        <f>$AF$11</f>
        <v>6</v>
      </c>
      <c r="L17" s="167" t="s">
        <v>146</v>
      </c>
      <c r="M17" s="168"/>
      <c r="N17" s="5">
        <f>$AI$11</f>
        <v>7.8000000000000007</v>
      </c>
      <c r="O17" s="5">
        <f>$AF$11</f>
        <v>6</v>
      </c>
      <c r="Q17" s="167" t="s">
        <v>146</v>
      </c>
      <c r="R17" s="168"/>
      <c r="S17" s="5">
        <f>$AI$11</f>
        <v>7.8000000000000007</v>
      </c>
      <c r="T17" s="5">
        <f>$AF$11</f>
        <v>6</v>
      </c>
      <c r="V17" s="167" t="s">
        <v>146</v>
      </c>
      <c r="W17" s="168"/>
      <c r="X17" s="5">
        <f>$AI$11</f>
        <v>7.8000000000000007</v>
      </c>
      <c r="Y17" s="5">
        <f>$AF$11</f>
        <v>6</v>
      </c>
      <c r="AA17"/>
      <c r="AB17"/>
      <c r="AC17"/>
      <c r="AD17"/>
      <c r="AE17"/>
      <c r="AF17"/>
      <c r="AG17"/>
      <c r="AH17"/>
      <c r="AI17"/>
      <c r="AJ17"/>
      <c r="AK17" s="315" t="s">
        <v>288</v>
      </c>
      <c r="AL17" s="315"/>
      <c r="AM17" s="315"/>
      <c r="AN17" s="315"/>
      <c r="AO17" s="53">
        <v>0.5</v>
      </c>
      <c r="AP17" s="53">
        <v>0.2</v>
      </c>
      <c r="AQ17" s="52">
        <v>0</v>
      </c>
    </row>
    <row r="18" spans="1:43" x14ac:dyDescent="0.25">
      <c r="A18" s="12"/>
      <c r="B18" s="273"/>
      <c r="C18" s="274"/>
      <c r="D18" s="5">
        <f>C14*D14+C15*D15+C16*D16+D17</f>
        <v>34.449287749999996</v>
      </c>
      <c r="E18" s="5">
        <f>C14*E14+C15*E15+C16*E16+E17</f>
        <v>21.9740675</v>
      </c>
      <c r="G18" s="273"/>
      <c r="H18" s="274"/>
      <c r="I18" s="5">
        <f>H14*I14+H15*I15+H16*I16+I17</f>
        <v>50.289790249999996</v>
      </c>
      <c r="J18" s="5">
        <f>H14*J14+H15*J15+H16*J16+J17</f>
        <v>30.8359925</v>
      </c>
      <c r="L18" s="273"/>
      <c r="M18" s="274"/>
      <c r="N18" s="5">
        <f>M14*N14+M15*N15+M16*N16+N17</f>
        <v>55.21199635861494</v>
      </c>
      <c r="O18" s="5">
        <f>M14*O14+M15*O15+M16*O16+O17</f>
        <v>36.378458737396109</v>
      </c>
      <c r="Q18" s="273"/>
      <c r="R18" s="274"/>
      <c r="S18" s="5">
        <f>R14*S14+R15*S15+R16*S16+S17</f>
        <v>50.289790249999996</v>
      </c>
      <c r="T18" s="5">
        <f>R14*T14+R15*T15+R16*T16+T17</f>
        <v>30.8359925</v>
      </c>
      <c r="V18" s="273"/>
      <c r="W18" s="274"/>
      <c r="X18" s="5">
        <f>W14*X14+W15*X15+W16*X16+X17</f>
        <v>34.449287749999996</v>
      </c>
      <c r="Y18" s="5">
        <f>W14*Y14+W15*Y15+W16*Y16+Y17</f>
        <v>21.9740675</v>
      </c>
      <c r="AA18" s="179" t="s">
        <v>26</v>
      </c>
      <c r="AB18" s="180"/>
      <c r="AC18" s="180"/>
      <c r="AD18" s="181"/>
      <c r="AE18"/>
      <c r="AF18"/>
      <c r="AG18"/>
      <c r="AH18"/>
      <c r="AI18"/>
      <c r="AJ18"/>
      <c r="AK18" s="315" t="s">
        <v>290</v>
      </c>
      <c r="AL18" s="315"/>
      <c r="AM18" s="315"/>
      <c r="AN18" s="315"/>
      <c r="AO18" s="53">
        <v>0.7</v>
      </c>
      <c r="AP18" s="53">
        <v>0.5</v>
      </c>
      <c r="AQ18" s="52">
        <v>0</v>
      </c>
    </row>
    <row r="19" spans="1:43" x14ac:dyDescent="0.25">
      <c r="A19" s="12"/>
      <c r="B19" s="179" t="s">
        <v>201</v>
      </c>
      <c r="C19" s="181"/>
      <c r="D19" s="5">
        <f>E19*1.3</f>
        <v>5.7330000000000005</v>
      </c>
      <c r="E19" s="5">
        <f>(0.3*I7*1*25)-0.3*2.8</f>
        <v>4.41</v>
      </c>
      <c r="G19" s="179" t="s">
        <v>201</v>
      </c>
      <c r="H19" s="181"/>
      <c r="I19" s="5">
        <f>J19*1.3</f>
        <v>5.7330000000000005</v>
      </c>
      <c r="J19" s="5">
        <f>(0.3*I7*1*25)-0.3*2.8</f>
        <v>4.41</v>
      </c>
      <c r="L19" s="179" t="s">
        <v>201</v>
      </c>
      <c r="M19" s="181"/>
      <c r="N19" s="5">
        <f>O19*1.3</f>
        <v>5.7330000000000005</v>
      </c>
      <c r="O19" s="5">
        <f>(0.3*I7*1*25)-0.3*2.8</f>
        <v>4.41</v>
      </c>
      <c r="Q19" s="179" t="s">
        <v>201</v>
      </c>
      <c r="R19" s="181"/>
      <c r="S19" s="144">
        <f>T19*1.3</f>
        <v>5.7330000000000005</v>
      </c>
      <c r="T19" s="5">
        <f>(0.3*I7*1*25)-0.3*2.8</f>
        <v>4.41</v>
      </c>
      <c r="V19" s="179" t="s">
        <v>201</v>
      </c>
      <c r="W19" s="181"/>
      <c r="X19" s="144">
        <f>Y19*1.3</f>
        <v>5.7330000000000005</v>
      </c>
      <c r="Y19" s="5">
        <f>(0.3*I7*1*25)-0.3*2.8</f>
        <v>4.41</v>
      </c>
      <c r="AA19" s="166" t="s">
        <v>27</v>
      </c>
      <c r="AB19" s="166"/>
      <c r="AC19" s="166"/>
      <c r="AD19" s="58">
        <v>1.3</v>
      </c>
      <c r="AE19"/>
      <c r="AF19"/>
      <c r="AG19"/>
      <c r="AH19"/>
      <c r="AI19"/>
      <c r="AJ19"/>
      <c r="AK19" s="315" t="s">
        <v>25</v>
      </c>
      <c r="AL19" s="315"/>
      <c r="AM19" s="315"/>
      <c r="AN19" s="315"/>
      <c r="AO19" s="53">
        <v>0.6</v>
      </c>
      <c r="AP19" s="53">
        <v>0.5</v>
      </c>
      <c r="AQ19" s="52">
        <v>0</v>
      </c>
    </row>
    <row r="20" spans="1:43" x14ac:dyDescent="0.25">
      <c r="A20" s="12"/>
      <c r="B20" s="179" t="s">
        <v>109</v>
      </c>
      <c r="C20" s="181"/>
      <c r="D20" s="5">
        <f>SUM(D18:D19)</f>
        <v>40.18228775</v>
      </c>
      <c r="E20" s="5">
        <f>SUM(E18:E19)</f>
        <v>26.3840675</v>
      </c>
      <c r="G20" s="179" t="s">
        <v>109</v>
      </c>
      <c r="H20" s="181"/>
      <c r="I20" s="5">
        <f>SUM(I18:I19)</f>
        <v>56.02279025</v>
      </c>
      <c r="J20" s="5">
        <f>SUM(J18:J19)</f>
        <v>35.2459925</v>
      </c>
      <c r="L20" s="179" t="s">
        <v>109</v>
      </c>
      <c r="M20" s="181"/>
      <c r="N20" s="5">
        <f>SUM(N18:N19)</f>
        <v>60.944996358614944</v>
      </c>
      <c r="O20" s="5">
        <f>SUM(O18:O19)</f>
        <v>40.788458737396112</v>
      </c>
      <c r="Q20" s="179" t="s">
        <v>109</v>
      </c>
      <c r="R20" s="181"/>
      <c r="S20" s="5">
        <f>SUM(S18:S19)</f>
        <v>56.02279025</v>
      </c>
      <c r="T20" s="5">
        <f>SUM(T18:T19)</f>
        <v>35.2459925</v>
      </c>
      <c r="V20" s="179" t="s">
        <v>109</v>
      </c>
      <c r="W20" s="181"/>
      <c r="X20" s="5">
        <f>SUM(X18:X19)</f>
        <v>40.18228775</v>
      </c>
      <c r="Y20" s="5">
        <f>SUM(Y18:Y19)</f>
        <v>26.3840675</v>
      </c>
      <c r="AA20" s="166" t="s">
        <v>28</v>
      </c>
      <c r="AB20" s="166"/>
      <c r="AC20" s="166"/>
      <c r="AD20" s="58">
        <v>1.5</v>
      </c>
      <c r="AE20"/>
      <c r="AF20"/>
      <c r="AG20"/>
      <c r="AH20"/>
      <c r="AI20"/>
      <c r="AJ20"/>
      <c r="AK20"/>
      <c r="AL20"/>
      <c r="AM20"/>
      <c r="AN20"/>
      <c r="AO20"/>
      <c r="AP20"/>
      <c r="AQ20"/>
    </row>
    <row r="21" spans="1:43" x14ac:dyDescent="0.25">
      <c r="A21" s="12"/>
      <c r="AA21" s="166" t="s">
        <v>29</v>
      </c>
      <c r="AB21" s="166"/>
      <c r="AC21" s="166"/>
      <c r="AD21" s="58">
        <v>1</v>
      </c>
      <c r="AE21"/>
      <c r="AF21"/>
      <c r="AG21"/>
      <c r="AH21"/>
      <c r="AI21"/>
      <c r="AJ21"/>
      <c r="AK21"/>
      <c r="AL21"/>
      <c r="AM21"/>
      <c r="AN21"/>
      <c r="AO21"/>
      <c r="AP21"/>
      <c r="AQ21"/>
    </row>
    <row r="22" spans="1:43" x14ac:dyDescent="0.25">
      <c r="A22" s="12"/>
      <c r="AA22"/>
      <c r="AB22"/>
      <c r="AC22"/>
      <c r="AD22"/>
      <c r="AE22"/>
      <c r="AF22"/>
      <c r="AG22"/>
    </row>
    <row r="23" spans="1:43" ht="18.75" x14ac:dyDescent="0.25">
      <c r="A23" s="12"/>
      <c r="B23" s="284" t="s">
        <v>126</v>
      </c>
      <c r="C23" s="285"/>
      <c r="D23" s="285"/>
      <c r="E23" s="286"/>
      <c r="G23" s="284" t="s">
        <v>130</v>
      </c>
      <c r="H23" s="285"/>
      <c r="I23" s="285"/>
      <c r="J23" s="286"/>
      <c r="L23" s="284" t="s">
        <v>133</v>
      </c>
      <c r="M23" s="285"/>
      <c r="N23" s="285"/>
      <c r="O23" s="286"/>
      <c r="Q23" s="284" t="s">
        <v>204</v>
      </c>
      <c r="R23" s="285"/>
      <c r="S23" s="285"/>
      <c r="T23" s="286"/>
      <c r="V23" s="284" t="s">
        <v>131</v>
      </c>
      <c r="W23" s="285"/>
      <c r="X23" s="285"/>
      <c r="Y23" s="286"/>
    </row>
    <row r="24" spans="1:43" ht="18" x14ac:dyDescent="0.25">
      <c r="A24" s="12"/>
      <c r="B24" s="119"/>
      <c r="C24" s="122" t="s">
        <v>140</v>
      </c>
      <c r="D24" s="122" t="s">
        <v>141</v>
      </c>
      <c r="E24" s="122" t="s">
        <v>202</v>
      </c>
      <c r="G24" s="119"/>
      <c r="H24" s="122" t="s">
        <v>140</v>
      </c>
      <c r="I24" s="122" t="s">
        <v>141</v>
      </c>
      <c r="J24" s="122" t="s">
        <v>202</v>
      </c>
      <c r="L24" s="119"/>
      <c r="M24" s="122" t="s">
        <v>140</v>
      </c>
      <c r="N24" s="122" t="s">
        <v>141</v>
      </c>
      <c r="O24" s="122" t="s">
        <v>202</v>
      </c>
      <c r="Q24" s="119"/>
      <c r="R24" s="122" t="s">
        <v>140</v>
      </c>
      <c r="S24" s="122" t="s">
        <v>141</v>
      </c>
      <c r="T24" s="122" t="s">
        <v>202</v>
      </c>
      <c r="V24" s="119"/>
      <c r="W24" s="122" t="s">
        <v>140</v>
      </c>
      <c r="X24" s="122" t="s">
        <v>141</v>
      </c>
      <c r="Y24" s="122" t="s">
        <v>202</v>
      </c>
    </row>
    <row r="25" spans="1:43" x14ac:dyDescent="0.25">
      <c r="A25" s="12"/>
      <c r="B25" s="119" t="s">
        <v>142</v>
      </c>
      <c r="C25" s="5">
        <f>(5.3/2)+(5.2/2)</f>
        <v>5.25</v>
      </c>
      <c r="D25" s="5">
        <f>$AI$7</f>
        <v>10.056335000000001</v>
      </c>
      <c r="E25" s="5">
        <f>$AF$7</f>
        <v>6.0279500000000006</v>
      </c>
      <c r="G25" s="119" t="s">
        <v>142</v>
      </c>
      <c r="H25" s="5">
        <f>(5.3/2)+(5.2/2)</f>
        <v>5.25</v>
      </c>
      <c r="I25" s="5">
        <f>$AI$7</f>
        <v>10.056335000000001</v>
      </c>
      <c r="J25" s="5">
        <f>$AF$7</f>
        <v>6.0279500000000006</v>
      </c>
      <c r="L25" s="119" t="s">
        <v>142</v>
      </c>
      <c r="M25" s="5">
        <f>(5.2/2)</f>
        <v>2.6</v>
      </c>
      <c r="N25" s="5">
        <f>$AI$7</f>
        <v>10.056335000000001</v>
      </c>
      <c r="O25" s="5">
        <f>$AF$7</f>
        <v>6.0279500000000006</v>
      </c>
      <c r="Q25" s="119" t="s">
        <v>142</v>
      </c>
      <c r="R25" s="5">
        <f>(5.3/2)+(5.2/2)</f>
        <v>5.25</v>
      </c>
      <c r="S25" s="5">
        <f>$AI$7</f>
        <v>10.056335000000001</v>
      </c>
      <c r="T25" s="5">
        <f>$AF$7</f>
        <v>6.0279500000000006</v>
      </c>
      <c r="V25" s="119" t="s">
        <v>142</v>
      </c>
      <c r="W25" s="5">
        <f>(5.3/2)+(5.2/2)</f>
        <v>5.25</v>
      </c>
      <c r="X25" s="5">
        <f>$AI$7</f>
        <v>10.056335000000001</v>
      </c>
      <c r="Y25" s="5">
        <f>$AF$7</f>
        <v>6.0279500000000006</v>
      </c>
    </row>
    <row r="26" spans="1:43" x14ac:dyDescent="0.25">
      <c r="A26" s="12"/>
      <c r="B26" s="119" t="s">
        <v>143</v>
      </c>
      <c r="C26" s="5">
        <v>0</v>
      </c>
      <c r="D26" s="5">
        <f>$AI$9</f>
        <v>10.560335</v>
      </c>
      <c r="E26" s="5">
        <f>$AF$9</f>
        <v>5.9079499999999996</v>
      </c>
      <c r="G26" s="119" t="s">
        <v>143</v>
      </c>
      <c r="H26" s="5">
        <v>0</v>
      </c>
      <c r="I26" s="5">
        <f>$AI$9</f>
        <v>10.560335</v>
      </c>
      <c r="J26" s="5">
        <f>$AF$9</f>
        <v>5.9079499999999996</v>
      </c>
      <c r="L26" s="119" t="s">
        <v>143</v>
      </c>
      <c r="M26" s="5">
        <v>0</v>
      </c>
      <c r="N26" s="5">
        <f>$AI$9</f>
        <v>10.560335</v>
      </c>
      <c r="O26" s="5">
        <f>$AF$9</f>
        <v>5.9079499999999996</v>
      </c>
      <c r="Q26" s="119" t="s">
        <v>143</v>
      </c>
      <c r="R26" s="5">
        <v>0</v>
      </c>
      <c r="S26" s="5">
        <f>$AI$9</f>
        <v>10.560335</v>
      </c>
      <c r="T26" s="5">
        <f>$AF$9</f>
        <v>5.9079499999999996</v>
      </c>
      <c r="V26" s="119" t="s">
        <v>143</v>
      </c>
      <c r="W26" s="5">
        <v>0</v>
      </c>
      <c r="X26" s="5">
        <f>$AI$9</f>
        <v>10.560335</v>
      </c>
      <c r="Y26" s="5">
        <f>$AF$9</f>
        <v>5.9079499999999996</v>
      </c>
    </row>
    <row r="27" spans="1:43" x14ac:dyDescent="0.25">
      <c r="A27" s="12"/>
      <c r="B27" s="119" t="s">
        <v>145</v>
      </c>
      <c r="C27" s="5">
        <v>0</v>
      </c>
      <c r="D27" s="5">
        <f>$AI$10</f>
        <v>17.240725948587251</v>
      </c>
      <c r="E27" s="5">
        <f>$AF$10</f>
        <v>11.04671226814404</v>
      </c>
      <c r="G27" s="119" t="s">
        <v>145</v>
      </c>
      <c r="H27" s="5">
        <v>0</v>
      </c>
      <c r="I27" s="5">
        <f>$AI$10</f>
        <v>17.240725948587251</v>
      </c>
      <c r="J27" s="5">
        <f>$AF$10</f>
        <v>11.04671226814404</v>
      </c>
      <c r="L27" s="119" t="s">
        <v>145</v>
      </c>
      <c r="M27" s="5">
        <f>(5.5/2)</f>
        <v>2.75</v>
      </c>
      <c r="N27" s="5">
        <f>$AI$10</f>
        <v>17.240725948587251</v>
      </c>
      <c r="O27" s="5">
        <f>$AF$10</f>
        <v>11.04671226814404</v>
      </c>
      <c r="Q27" s="119" t="s">
        <v>145</v>
      </c>
      <c r="R27" s="5">
        <v>0</v>
      </c>
      <c r="S27" s="5">
        <f>$AI$10</f>
        <v>17.240725948587251</v>
      </c>
      <c r="T27" s="5">
        <f>$AF$10</f>
        <v>11.04671226814404</v>
      </c>
      <c r="V27" s="119" t="s">
        <v>145</v>
      </c>
      <c r="W27" s="5">
        <v>0</v>
      </c>
      <c r="X27" s="5">
        <f>$AI$10</f>
        <v>17.240725948587251</v>
      </c>
      <c r="Y27" s="5">
        <f>$AF$10</f>
        <v>11.04671226814404</v>
      </c>
    </row>
    <row r="28" spans="1:43" x14ac:dyDescent="0.25">
      <c r="A28" s="12"/>
      <c r="B28" s="167" t="s">
        <v>146</v>
      </c>
      <c r="C28" s="168"/>
      <c r="D28" s="5">
        <v>0</v>
      </c>
      <c r="E28" s="5">
        <v>0</v>
      </c>
      <c r="G28" s="167" t="s">
        <v>146</v>
      </c>
      <c r="H28" s="168"/>
      <c r="I28" s="5">
        <v>0</v>
      </c>
      <c r="J28" s="5">
        <v>0</v>
      </c>
      <c r="L28" s="167" t="s">
        <v>146</v>
      </c>
      <c r="M28" s="168"/>
      <c r="N28" s="5">
        <f>$AI$11</f>
        <v>7.8000000000000007</v>
      </c>
      <c r="O28" s="5">
        <f>$AF$11</f>
        <v>6</v>
      </c>
      <c r="Q28" s="167" t="s">
        <v>146</v>
      </c>
      <c r="R28" s="168"/>
      <c r="S28" s="5">
        <v>0</v>
      </c>
      <c r="T28" s="5">
        <v>0</v>
      </c>
      <c r="V28" s="167" t="s">
        <v>146</v>
      </c>
      <c r="W28" s="168"/>
      <c r="X28" s="5">
        <v>0</v>
      </c>
      <c r="Y28" s="5">
        <v>0</v>
      </c>
    </row>
    <row r="29" spans="1:43" x14ac:dyDescent="0.25">
      <c r="A29" s="12"/>
      <c r="B29" s="273"/>
      <c r="C29" s="274"/>
      <c r="D29" s="5">
        <f>C25*D25+C26*D26+C27*D27+D28</f>
        <v>52.795758750000005</v>
      </c>
      <c r="E29" s="5">
        <f>C25*E25+C26*E26+C27*E27+E28</f>
        <v>31.646737500000004</v>
      </c>
      <c r="G29" s="273"/>
      <c r="H29" s="274"/>
      <c r="I29" s="5">
        <f>H25*I25+H26*I26+H27*I27+I28</f>
        <v>52.795758750000005</v>
      </c>
      <c r="J29" s="5">
        <f>H25*J25+H26*J26+H27*J27+J28</f>
        <v>31.646737500000004</v>
      </c>
      <c r="L29" s="273"/>
      <c r="M29" s="274"/>
      <c r="N29" s="5">
        <f>M25*N25+M26*N26+M27*N27+N28</f>
        <v>81.358467358614945</v>
      </c>
      <c r="O29" s="5">
        <f>M25*O25+M26*O26+M27*O27+O28</f>
        <v>52.051128737396112</v>
      </c>
      <c r="Q29" s="273"/>
      <c r="R29" s="274"/>
      <c r="S29" s="5">
        <f>R25*S25+R26*S26+R27*S27+S28</f>
        <v>52.795758750000005</v>
      </c>
      <c r="T29" s="5">
        <f>R25*T25+R26*T26+R27*T27+T28</f>
        <v>31.646737500000004</v>
      </c>
      <c r="V29" s="273"/>
      <c r="W29" s="274"/>
      <c r="X29" s="5">
        <f>W25*X25+W26*X26+W27*X27+X28</f>
        <v>52.795758750000005</v>
      </c>
      <c r="Y29" s="5">
        <f>W25*Y25+W26*Y26+W27*Y27+Y28</f>
        <v>31.646737500000004</v>
      </c>
    </row>
    <row r="30" spans="1:43" x14ac:dyDescent="0.25">
      <c r="A30" s="12"/>
      <c r="B30" s="179" t="s">
        <v>201</v>
      </c>
      <c r="C30" s="181"/>
      <c r="D30" s="5">
        <f>E30*1.3</f>
        <v>5.7330000000000005</v>
      </c>
      <c r="E30" s="5">
        <f>(0.3*I7*1*25)-0.3*2.8</f>
        <v>4.41</v>
      </c>
      <c r="G30" s="179" t="s">
        <v>201</v>
      </c>
      <c r="H30" s="181"/>
      <c r="I30" s="144">
        <f>J30*1.3</f>
        <v>5.7330000000000005</v>
      </c>
      <c r="J30" s="5">
        <f>(0.3*I7*1*25)-0.3*2.8</f>
        <v>4.41</v>
      </c>
      <c r="L30" s="179" t="s">
        <v>201</v>
      </c>
      <c r="M30" s="181"/>
      <c r="N30" s="144">
        <f>O30*1.3</f>
        <v>5.7330000000000005</v>
      </c>
      <c r="O30" s="5">
        <f>(0.3*I7*1*25)-0.3*2.8</f>
        <v>4.41</v>
      </c>
      <c r="Q30" s="179" t="s">
        <v>201</v>
      </c>
      <c r="R30" s="181"/>
      <c r="S30" s="144">
        <f>T30*1.3</f>
        <v>5.7330000000000005</v>
      </c>
      <c r="T30" s="5">
        <f>(0.3*I7*1*25)-0.3*2.8</f>
        <v>4.41</v>
      </c>
      <c r="V30" s="179" t="s">
        <v>201</v>
      </c>
      <c r="W30" s="181"/>
      <c r="X30" s="144">
        <f>Y30*1.3</f>
        <v>5.7330000000000005</v>
      </c>
      <c r="Y30" s="5">
        <f>(0.3*I7*1*25)-0.3*2.8</f>
        <v>4.41</v>
      </c>
    </row>
    <row r="31" spans="1:43" x14ac:dyDescent="0.25">
      <c r="A31" s="12"/>
      <c r="B31" s="179" t="s">
        <v>109</v>
      </c>
      <c r="C31" s="181"/>
      <c r="D31" s="5">
        <f>SUM(D29:D30)</f>
        <v>58.528758750000009</v>
      </c>
      <c r="E31" s="5">
        <f>SUM(E29:E30)</f>
        <v>36.056737500000004</v>
      </c>
      <c r="G31" s="179" t="s">
        <v>109</v>
      </c>
      <c r="H31" s="181"/>
      <c r="I31" s="5">
        <f>SUM(I29:I30)</f>
        <v>58.528758750000009</v>
      </c>
      <c r="J31" s="5">
        <f>SUM(J29:J30)</f>
        <v>36.056737500000004</v>
      </c>
      <c r="L31" s="179" t="s">
        <v>109</v>
      </c>
      <c r="M31" s="181"/>
      <c r="N31" s="5">
        <f>SUM(N29:N30)</f>
        <v>87.091467358614949</v>
      </c>
      <c r="O31" s="5">
        <f>SUM(O29:O30)</f>
        <v>56.461128737396109</v>
      </c>
      <c r="Q31" s="179" t="s">
        <v>109</v>
      </c>
      <c r="R31" s="181"/>
      <c r="S31" s="5">
        <f>SUM(S29:S30)</f>
        <v>58.528758750000009</v>
      </c>
      <c r="T31" s="5">
        <f>SUM(T29:T30)</f>
        <v>36.056737500000004</v>
      </c>
      <c r="V31" s="179" t="s">
        <v>109</v>
      </c>
      <c r="W31" s="181"/>
      <c r="X31" s="5">
        <f>SUM(X29:X30)</f>
        <v>58.528758750000009</v>
      </c>
      <c r="Y31" s="5">
        <f>SUM(Y29:Y30)</f>
        <v>36.056737500000004</v>
      </c>
    </row>
    <row r="32" spans="1:43" x14ac:dyDescent="0.25">
      <c r="A32" s="12"/>
    </row>
    <row r="33" spans="1:42" ht="18.75" x14ac:dyDescent="0.25">
      <c r="A33" s="12"/>
      <c r="B33" s="284" t="s">
        <v>120</v>
      </c>
      <c r="C33" s="285"/>
      <c r="D33" s="285"/>
      <c r="E33" s="286"/>
      <c r="G33" s="284" t="s">
        <v>123</v>
      </c>
      <c r="H33" s="285"/>
      <c r="I33" s="285"/>
      <c r="J33" s="286"/>
      <c r="L33" s="284" t="s">
        <v>125</v>
      </c>
      <c r="M33" s="285"/>
      <c r="N33" s="285"/>
      <c r="O33" s="286"/>
      <c r="Q33" s="284" t="s">
        <v>205</v>
      </c>
      <c r="R33" s="285"/>
      <c r="S33" s="285"/>
      <c r="T33" s="286"/>
      <c r="V33" s="284" t="s">
        <v>121</v>
      </c>
      <c r="W33" s="285"/>
      <c r="X33" s="285"/>
      <c r="Y33" s="286"/>
    </row>
    <row r="34" spans="1:42" ht="18" x14ac:dyDescent="0.25">
      <c r="A34" s="12"/>
      <c r="B34" s="119"/>
      <c r="C34" s="122" t="s">
        <v>140</v>
      </c>
      <c r="D34" s="122" t="s">
        <v>141</v>
      </c>
      <c r="E34" s="122" t="s">
        <v>202</v>
      </c>
      <c r="G34" s="119"/>
      <c r="H34" s="122" t="s">
        <v>140</v>
      </c>
      <c r="I34" s="122" t="s">
        <v>141</v>
      </c>
      <c r="J34" s="122" t="s">
        <v>202</v>
      </c>
      <c r="L34" s="119"/>
      <c r="M34" s="122" t="s">
        <v>140</v>
      </c>
      <c r="N34" s="122" t="s">
        <v>141</v>
      </c>
      <c r="O34" s="122" t="s">
        <v>202</v>
      </c>
      <c r="Q34" s="119"/>
      <c r="R34" s="122" t="s">
        <v>140</v>
      </c>
      <c r="S34" s="122" t="s">
        <v>141</v>
      </c>
      <c r="T34" s="122" t="s">
        <v>202</v>
      </c>
      <c r="V34" s="119"/>
      <c r="W34" s="122" t="s">
        <v>140</v>
      </c>
      <c r="X34" s="122" t="s">
        <v>141</v>
      </c>
      <c r="Y34" s="122" t="s">
        <v>202</v>
      </c>
      <c r="AB34" s="219" t="s">
        <v>366</v>
      </c>
      <c r="AC34" s="220"/>
      <c r="AD34" s="220"/>
      <c r="AE34" s="220"/>
      <c r="AF34" s="220"/>
      <c r="AG34" s="220"/>
      <c r="AH34" s="221"/>
      <c r="AJ34" s="219" t="s">
        <v>384</v>
      </c>
      <c r="AK34" s="220"/>
      <c r="AL34" s="220"/>
      <c r="AM34" s="220"/>
      <c r="AN34" s="220"/>
      <c r="AO34" s="220"/>
      <c r="AP34" s="221"/>
    </row>
    <row r="35" spans="1:42" x14ac:dyDescent="0.25">
      <c r="A35" s="12"/>
      <c r="B35" s="119" t="s">
        <v>142</v>
      </c>
      <c r="C35" s="5">
        <f>(5.2/2)</f>
        <v>2.6</v>
      </c>
      <c r="D35" s="5">
        <f>$AI$7</f>
        <v>10.056335000000001</v>
      </c>
      <c r="E35" s="5">
        <f>$AF$7</f>
        <v>6.0279500000000006</v>
      </c>
      <c r="G35" s="119" t="s">
        <v>142</v>
      </c>
      <c r="H35" s="5">
        <f>(5.2/2)</f>
        <v>2.6</v>
      </c>
      <c r="I35" s="5">
        <f>$AI$7</f>
        <v>10.056335000000001</v>
      </c>
      <c r="J35" s="5">
        <f>$AF$7</f>
        <v>6.0279500000000006</v>
      </c>
      <c r="L35" s="119" t="s">
        <v>142</v>
      </c>
      <c r="M35" s="5">
        <f>(5.2/2)</f>
        <v>2.6</v>
      </c>
      <c r="N35" s="5">
        <f>$AI$7</f>
        <v>10.056335000000001</v>
      </c>
      <c r="O35" s="5">
        <f>$AF$7</f>
        <v>6.0279500000000006</v>
      </c>
      <c r="Q35" s="119" t="s">
        <v>142</v>
      </c>
      <c r="R35" s="5">
        <f>(5.2/2)</f>
        <v>2.6</v>
      </c>
      <c r="S35" s="5">
        <f>('[2]Carichi unitari'!$E$12+1.6)*'[2]DimensionamentoCD"B"'!$Q$13+2*'[2]DimensionamentoCD"B"'!$Q$14</f>
        <v>10.056335000000001</v>
      </c>
      <c r="T35" s="5">
        <f>'[2]Carichi unitari'!$E$12+1.6+'[2]DimensionamentoCD"B"'!$X$4*2</f>
        <v>6.0279500000000006</v>
      </c>
      <c r="V35" s="119" t="s">
        <v>142</v>
      </c>
      <c r="W35" s="5">
        <f>(5.2/2)</f>
        <v>2.6</v>
      </c>
      <c r="X35" s="5">
        <f>$AI$7</f>
        <v>10.056335000000001</v>
      </c>
      <c r="Y35" s="5">
        <f>$AF$7</f>
        <v>6.0279500000000006</v>
      </c>
      <c r="AB35" s="140" t="s">
        <v>367</v>
      </c>
      <c r="AC35" s="58"/>
      <c r="AD35" s="328" t="s">
        <v>368</v>
      </c>
      <c r="AE35" s="332"/>
      <c r="AF35" s="332"/>
      <c r="AG35" s="332"/>
      <c r="AH35" s="329"/>
      <c r="AJ35" s="140" t="s">
        <v>367</v>
      </c>
      <c r="AK35" s="122"/>
      <c r="AL35" s="328" t="s">
        <v>368</v>
      </c>
      <c r="AM35" s="332"/>
      <c r="AN35" s="332"/>
      <c r="AO35" s="332"/>
      <c r="AP35" s="329"/>
    </row>
    <row r="36" spans="1:42" x14ac:dyDescent="0.25">
      <c r="A36" s="12"/>
      <c r="B36" s="119" t="s">
        <v>143</v>
      </c>
      <c r="C36" s="5">
        <v>0</v>
      </c>
      <c r="D36" s="5">
        <f>$AI$9</f>
        <v>10.560335</v>
      </c>
      <c r="E36" s="5">
        <f>$AF$9</f>
        <v>5.9079499999999996</v>
      </c>
      <c r="G36" s="119" t="s">
        <v>143</v>
      </c>
      <c r="H36" s="5">
        <v>1.5</v>
      </c>
      <c r="I36" s="5">
        <f>$AI$9</f>
        <v>10.560335</v>
      </c>
      <c r="J36" s="5">
        <f>$AF$9</f>
        <v>5.9079499999999996</v>
      </c>
      <c r="L36" s="119" t="s">
        <v>143</v>
      </c>
      <c r="M36" s="5">
        <v>1.5</v>
      </c>
      <c r="N36" s="5">
        <f>$AI$9</f>
        <v>10.560335</v>
      </c>
      <c r="O36" s="5">
        <f>$AF$9</f>
        <v>5.9079499999999996</v>
      </c>
      <c r="Q36" s="119" t="s">
        <v>143</v>
      </c>
      <c r="R36" s="5">
        <v>1.5</v>
      </c>
      <c r="S36" s="5">
        <f>'[2]Carichi unitari'!$E$28*'[2]DimensionamentoCD"B"'!$Q$13+4*'[2]DimensionamentoCD"B"'!$Q$14</f>
        <v>10.560335</v>
      </c>
      <c r="T36" s="5">
        <f>'[2]Carichi unitari'!$E$28+'[2]DimensionamentoCD"B"'!$X$6*4</f>
        <v>5.9079499999999996</v>
      </c>
      <c r="V36" s="119" t="s">
        <v>143</v>
      </c>
      <c r="W36" s="5">
        <v>0</v>
      </c>
      <c r="X36" s="5">
        <f>$AI$9</f>
        <v>10.560335</v>
      </c>
      <c r="Y36" s="5">
        <f>$AF$9</f>
        <v>5.9079499999999996</v>
      </c>
      <c r="AB36" s="141">
        <v>101</v>
      </c>
      <c r="AC36" s="141"/>
      <c r="AD36" s="141" t="s">
        <v>369</v>
      </c>
      <c r="AE36" s="141" t="s">
        <v>370</v>
      </c>
      <c r="AF36" s="141" t="s">
        <v>371</v>
      </c>
      <c r="AG36" s="141" t="s">
        <v>372</v>
      </c>
      <c r="AH36" s="141" t="s">
        <v>373</v>
      </c>
      <c r="AJ36" s="141">
        <v>101</v>
      </c>
      <c r="AK36" s="141"/>
      <c r="AL36" s="141" t="s">
        <v>369</v>
      </c>
      <c r="AM36" s="141" t="s">
        <v>370</v>
      </c>
      <c r="AN36" s="141" t="s">
        <v>371</v>
      </c>
      <c r="AO36" s="141" t="s">
        <v>372</v>
      </c>
      <c r="AP36" s="141" t="s">
        <v>373</v>
      </c>
    </row>
    <row r="37" spans="1:42" x14ac:dyDescent="0.25">
      <c r="A37" s="12"/>
      <c r="B37" s="119" t="s">
        <v>145</v>
      </c>
      <c r="C37" s="5">
        <v>0</v>
      </c>
      <c r="D37" s="5">
        <f>$AI$10</f>
        <v>17.240725948587251</v>
      </c>
      <c r="E37" s="5">
        <f>$AF$10</f>
        <v>11.04671226814404</v>
      </c>
      <c r="G37" s="119" t="s">
        <v>145</v>
      </c>
      <c r="H37" s="5">
        <v>0</v>
      </c>
      <c r="I37" s="5">
        <f>$AI$10</f>
        <v>17.240725948587251</v>
      </c>
      <c r="J37" s="5">
        <f>$AF$10</f>
        <v>11.04671226814404</v>
      </c>
      <c r="L37" s="119" t="s">
        <v>145</v>
      </c>
      <c r="M37" s="5">
        <v>0</v>
      </c>
      <c r="N37" s="5">
        <f>$AI$10</f>
        <v>17.240725948587251</v>
      </c>
      <c r="O37" s="5">
        <f>$AF$10</f>
        <v>11.04671226814404</v>
      </c>
      <c r="Q37" s="119" t="s">
        <v>145</v>
      </c>
      <c r="R37" s="5">
        <v>0</v>
      </c>
      <c r="S37" s="5">
        <f>'[2]Carichi unitari'!$E$20*'[2]DimensionamentoCD"B"'!$Q$13+4*'[2]DimensionamentoCD"B"'!$Q$14</f>
        <v>17.240725948587251</v>
      </c>
      <c r="T37" s="5">
        <f>'[2]Carichi unitari'!$E$20+'[2]DimensionamentoCD"B"'!$X$6*4</f>
        <v>11.04671226814404</v>
      </c>
      <c r="V37" s="119" t="s">
        <v>145</v>
      </c>
      <c r="W37" s="5">
        <v>0</v>
      </c>
      <c r="X37" s="5">
        <f>$AI$10</f>
        <v>17.240725948587251</v>
      </c>
      <c r="Y37" s="5">
        <f>$AF$10</f>
        <v>11.04671226814404</v>
      </c>
      <c r="AB37" s="90"/>
      <c r="AC37" s="61" t="s">
        <v>102</v>
      </c>
      <c r="AD37" s="142">
        <f>D41</f>
        <v>39.679471000000007</v>
      </c>
      <c r="AE37" s="142">
        <f>I41</f>
        <v>55.519973500000006</v>
      </c>
      <c r="AF37" s="142">
        <f>N41</f>
        <v>55.519973500000006</v>
      </c>
      <c r="AG37" s="142">
        <f>S41</f>
        <v>55.519973500000006</v>
      </c>
      <c r="AH37" s="142">
        <f>X41</f>
        <v>39.679471000000007</v>
      </c>
      <c r="AJ37" s="90"/>
      <c r="AK37" s="61" t="s">
        <v>385</v>
      </c>
      <c r="AL37" s="142">
        <f>E41</f>
        <v>26.082670000000004</v>
      </c>
      <c r="AM37" s="142">
        <f>J41</f>
        <v>34.944595000000007</v>
      </c>
      <c r="AN37" s="142">
        <f>O41</f>
        <v>34.944595000000007</v>
      </c>
      <c r="AO37" s="142">
        <f>T41</f>
        <v>34.944595000000007</v>
      </c>
      <c r="AP37" s="142">
        <f>Y41</f>
        <v>26.082670000000004</v>
      </c>
    </row>
    <row r="38" spans="1:42" x14ac:dyDescent="0.25">
      <c r="A38" s="12"/>
      <c r="B38" s="167" t="s">
        <v>146</v>
      </c>
      <c r="C38" s="168"/>
      <c r="D38" s="5">
        <f>$AI$11</f>
        <v>7.8000000000000007</v>
      </c>
      <c r="E38" s="5">
        <f>$AF$11</f>
        <v>6</v>
      </c>
      <c r="G38" s="167" t="s">
        <v>146</v>
      </c>
      <c r="H38" s="168"/>
      <c r="I38" s="5">
        <f>$AI$11</f>
        <v>7.8000000000000007</v>
      </c>
      <c r="J38" s="5">
        <f>$AF$11</f>
        <v>6</v>
      </c>
      <c r="L38" s="167" t="s">
        <v>146</v>
      </c>
      <c r="M38" s="168"/>
      <c r="N38" s="5">
        <f>$AI$11</f>
        <v>7.8000000000000007</v>
      </c>
      <c r="O38" s="5">
        <f>$AF$11</f>
        <v>6</v>
      </c>
      <c r="Q38" s="167" t="s">
        <v>146</v>
      </c>
      <c r="R38" s="168"/>
      <c r="S38" s="5">
        <f>$AI$11</f>
        <v>7.8000000000000007</v>
      </c>
      <c r="T38" s="5">
        <f>$AF$11</f>
        <v>6</v>
      </c>
      <c r="V38" s="167" t="s">
        <v>146</v>
      </c>
      <c r="W38" s="168"/>
      <c r="X38" s="5">
        <f>$AI$11</f>
        <v>7.8000000000000007</v>
      </c>
      <c r="Y38" s="5">
        <f>$AF$11</f>
        <v>6</v>
      </c>
      <c r="AB38" s="143">
        <v>102</v>
      </c>
      <c r="AC38" s="143"/>
      <c r="AD38" s="143" t="s">
        <v>374</v>
      </c>
      <c r="AE38" s="143" t="s">
        <v>375</v>
      </c>
      <c r="AF38" s="143" t="s">
        <v>376</v>
      </c>
      <c r="AG38" s="143" t="s">
        <v>377</v>
      </c>
      <c r="AH38" s="143" t="s">
        <v>378</v>
      </c>
      <c r="AJ38" s="143">
        <v>102</v>
      </c>
      <c r="AK38" s="143"/>
      <c r="AL38" s="143" t="s">
        <v>374</v>
      </c>
      <c r="AM38" s="143" t="s">
        <v>375</v>
      </c>
      <c r="AN38" s="143" t="s">
        <v>376</v>
      </c>
      <c r="AO38" s="143" t="s">
        <v>377</v>
      </c>
      <c r="AP38" s="143" t="s">
        <v>378</v>
      </c>
    </row>
    <row r="39" spans="1:42" x14ac:dyDescent="0.25">
      <c r="A39" s="12"/>
      <c r="B39" s="273"/>
      <c r="C39" s="274"/>
      <c r="D39" s="5">
        <f>C35*D35+C36*D36+C37*D37+D38</f>
        <v>33.946471000000003</v>
      </c>
      <c r="E39" s="5">
        <f>C35*E35+C36*E36+C37*E37+E38</f>
        <v>21.672670000000004</v>
      </c>
      <c r="G39" s="273"/>
      <c r="H39" s="274"/>
      <c r="I39" s="5">
        <f>H35*I35+H36*I36+H37*I37+I38</f>
        <v>49.786973500000002</v>
      </c>
      <c r="J39" s="5">
        <f>H35*J35+H36*J36+H37*J37+J38</f>
        <v>30.534595000000003</v>
      </c>
      <c r="L39" s="273"/>
      <c r="M39" s="274"/>
      <c r="N39" s="5">
        <f>M35*N35+M36*N36+M37*N37+N38</f>
        <v>49.786973500000002</v>
      </c>
      <c r="O39" s="5">
        <f>M35*O35+M36*O36+M37*O37+O38</f>
        <v>30.534595000000003</v>
      </c>
      <c r="Q39" s="273"/>
      <c r="R39" s="274"/>
      <c r="S39" s="5">
        <f>R35*S35+R36*S36+R37*S37+S38</f>
        <v>49.786973500000002</v>
      </c>
      <c r="T39" s="5">
        <f>R35*T35+R36*T36+R37*T37+T38</f>
        <v>30.534595000000003</v>
      </c>
      <c r="V39" s="273"/>
      <c r="W39" s="274"/>
      <c r="X39" s="5">
        <f>W35*X35+W36*X36+W37*X37+X38</f>
        <v>33.946471000000003</v>
      </c>
      <c r="Y39" s="5">
        <f>W35*Y35+W36*Y36+W37*Y37+Y38</f>
        <v>21.672670000000004</v>
      </c>
      <c r="AB39" s="90"/>
      <c r="AC39" s="61" t="s">
        <v>102</v>
      </c>
      <c r="AD39" s="142">
        <f>D31</f>
        <v>58.528758750000009</v>
      </c>
      <c r="AE39" s="142">
        <f>I31</f>
        <v>58.528758750000009</v>
      </c>
      <c r="AF39" s="142">
        <f>N31</f>
        <v>87.091467358614949</v>
      </c>
      <c r="AG39" s="142">
        <f>S31</f>
        <v>58.528758750000009</v>
      </c>
      <c r="AH39" s="142">
        <f>X31</f>
        <v>58.528758750000009</v>
      </c>
      <c r="AJ39" s="90"/>
      <c r="AK39" s="61" t="s">
        <v>385</v>
      </c>
      <c r="AL39" s="142">
        <f>E31</f>
        <v>36.056737500000004</v>
      </c>
      <c r="AM39" s="142">
        <f>J31</f>
        <v>36.056737500000004</v>
      </c>
      <c r="AN39" s="142">
        <f>O31</f>
        <v>56.461128737396109</v>
      </c>
      <c r="AO39" s="142">
        <f>T31</f>
        <v>36.056737500000004</v>
      </c>
      <c r="AP39" s="142">
        <f>Y31</f>
        <v>36.056737500000004</v>
      </c>
    </row>
    <row r="40" spans="1:42" x14ac:dyDescent="0.25">
      <c r="A40" s="12"/>
      <c r="B40" s="179" t="s">
        <v>201</v>
      </c>
      <c r="C40" s="181"/>
      <c r="D40" s="144">
        <f>E40*1.3</f>
        <v>5.7330000000000005</v>
      </c>
      <c r="E40" s="5">
        <f>(0.3*I7*1*25)-0.3*2.8</f>
        <v>4.41</v>
      </c>
      <c r="G40" s="179" t="s">
        <v>201</v>
      </c>
      <c r="H40" s="181"/>
      <c r="I40" s="144">
        <f>J40*1.3</f>
        <v>5.7330000000000005</v>
      </c>
      <c r="J40" s="5">
        <f>(0.3*I7*1*25)-0.3*2.8</f>
        <v>4.41</v>
      </c>
      <c r="L40" s="179" t="s">
        <v>201</v>
      </c>
      <c r="M40" s="181"/>
      <c r="N40" s="144">
        <f>O40*1.3</f>
        <v>5.7330000000000005</v>
      </c>
      <c r="O40" s="5">
        <f>(0.3*I7*1*25)-0.3*2.8</f>
        <v>4.41</v>
      </c>
      <c r="Q40" s="179" t="s">
        <v>201</v>
      </c>
      <c r="R40" s="181"/>
      <c r="S40" s="144">
        <f>T40*1.3</f>
        <v>5.7330000000000005</v>
      </c>
      <c r="T40" s="5">
        <f>(0.3*I7*1*25)-0.3*2.8</f>
        <v>4.41</v>
      </c>
      <c r="V40" s="179" t="s">
        <v>201</v>
      </c>
      <c r="W40" s="181"/>
      <c r="X40" s="144">
        <f>Y40*1.3</f>
        <v>5.7330000000000005</v>
      </c>
      <c r="Y40" s="5">
        <f>(0.3*I7*1*25)-0.3*2.8</f>
        <v>4.41</v>
      </c>
      <c r="AB40" s="145">
        <v>103</v>
      </c>
      <c r="AC40" s="145"/>
      <c r="AD40" s="145" t="s">
        <v>379</v>
      </c>
      <c r="AE40" s="145" t="s">
        <v>380</v>
      </c>
      <c r="AF40" s="145" t="s">
        <v>381</v>
      </c>
      <c r="AG40" s="145" t="s">
        <v>382</v>
      </c>
      <c r="AH40" s="145" t="s">
        <v>383</v>
      </c>
      <c r="AJ40" s="145">
        <v>103</v>
      </c>
      <c r="AK40" s="145"/>
      <c r="AL40" s="145" t="s">
        <v>379</v>
      </c>
      <c r="AM40" s="145" t="s">
        <v>380</v>
      </c>
      <c r="AN40" s="145" t="s">
        <v>381</v>
      </c>
      <c r="AO40" s="145" t="s">
        <v>382</v>
      </c>
      <c r="AP40" s="145" t="s">
        <v>383</v>
      </c>
    </row>
    <row r="41" spans="1:42" ht="15.75" thickBot="1" x14ac:dyDescent="0.3">
      <c r="A41" s="12"/>
      <c r="B41" s="330" t="s">
        <v>109</v>
      </c>
      <c r="C41" s="331"/>
      <c r="D41" s="5">
        <f>SUM(D39:D40)</f>
        <v>39.679471000000007</v>
      </c>
      <c r="E41" s="5">
        <f>SUM(E39:E40)</f>
        <v>26.082670000000004</v>
      </c>
      <c r="G41" s="179" t="s">
        <v>109</v>
      </c>
      <c r="H41" s="181"/>
      <c r="I41" s="5">
        <f>SUM(I39:I40)</f>
        <v>55.519973500000006</v>
      </c>
      <c r="J41" s="5">
        <f>SUM(J39:J40)</f>
        <v>34.944595000000007</v>
      </c>
      <c r="L41" s="179" t="s">
        <v>109</v>
      </c>
      <c r="M41" s="181"/>
      <c r="N41" s="5">
        <f>SUM(N39:N40)</f>
        <v>55.519973500000006</v>
      </c>
      <c r="O41" s="5">
        <f>SUM(O39:O40)</f>
        <v>34.944595000000007</v>
      </c>
      <c r="Q41" s="179" t="s">
        <v>109</v>
      </c>
      <c r="R41" s="181"/>
      <c r="S41" s="5">
        <f>SUM(S39:S40)</f>
        <v>55.519973500000006</v>
      </c>
      <c r="T41" s="5">
        <f>SUM(T39:T40)</f>
        <v>34.944595000000007</v>
      </c>
      <c r="V41" s="179" t="s">
        <v>109</v>
      </c>
      <c r="W41" s="181"/>
      <c r="X41" s="5">
        <f>SUM(X39:X40)</f>
        <v>39.679471000000007</v>
      </c>
      <c r="Y41" s="5">
        <f>SUM(Y39:Y40)</f>
        <v>26.082670000000004</v>
      </c>
      <c r="AB41" s="146"/>
      <c r="AC41" s="61" t="s">
        <v>102</v>
      </c>
      <c r="AD41" s="142">
        <f>D20</f>
        <v>40.18228775</v>
      </c>
      <c r="AE41" s="142">
        <f>I20</f>
        <v>56.02279025</v>
      </c>
      <c r="AF41" s="142">
        <f>N20</f>
        <v>60.944996358614944</v>
      </c>
      <c r="AG41" s="142">
        <f>S20</f>
        <v>56.02279025</v>
      </c>
      <c r="AH41" s="142">
        <f>X20</f>
        <v>40.18228775</v>
      </c>
      <c r="AJ41" s="146"/>
      <c r="AK41" s="61" t="s">
        <v>385</v>
      </c>
      <c r="AL41" s="142">
        <f>E20</f>
        <v>26.3840675</v>
      </c>
      <c r="AM41" s="142">
        <f>J20</f>
        <v>35.2459925</v>
      </c>
      <c r="AN41" s="142">
        <f>O20</f>
        <v>40.788458737396112</v>
      </c>
      <c r="AO41" s="142">
        <f>T20</f>
        <v>35.2459925</v>
      </c>
      <c r="AP41" s="142">
        <f>Y20</f>
        <v>26.3840675</v>
      </c>
    </row>
    <row r="42" spans="1:42" ht="16.5" thickTop="1" x14ac:dyDescent="0.25">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147" t="s">
        <v>386</v>
      </c>
    </row>
    <row r="44" spans="1:42" ht="15.75" x14ac:dyDescent="0.25">
      <c r="A44" s="148" t="s">
        <v>387</v>
      </c>
      <c r="B44" s="267" t="s">
        <v>258</v>
      </c>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2"/>
      <c r="AF44" s="219" t="s">
        <v>388</v>
      </c>
      <c r="AG44" s="220"/>
      <c r="AH44" s="220"/>
      <c r="AI44" s="221"/>
      <c r="AJ44"/>
      <c r="AK44" s="219" t="s">
        <v>389</v>
      </c>
      <c r="AL44" s="220"/>
      <c r="AM44" s="220"/>
      <c r="AN44" s="221"/>
    </row>
    <row r="45" spans="1:42" ht="15" customHeight="1" x14ac:dyDescent="0.25">
      <c r="A45" s="326" t="s">
        <v>390</v>
      </c>
      <c r="B45" s="323"/>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5"/>
      <c r="AF45" s="140" t="s">
        <v>367</v>
      </c>
      <c r="AG45" s="149"/>
      <c r="AH45" s="328" t="s">
        <v>391</v>
      </c>
      <c r="AI45" s="329"/>
      <c r="AJ45"/>
      <c r="AK45" s="140" t="s">
        <v>367</v>
      </c>
      <c r="AL45" s="149"/>
      <c r="AM45" s="328" t="s">
        <v>391</v>
      </c>
      <c r="AN45" s="329"/>
    </row>
    <row r="46" spans="1:42" ht="18.75" x14ac:dyDescent="0.25">
      <c r="A46" s="327"/>
      <c r="B46" s="275" t="s">
        <v>207</v>
      </c>
      <c r="C46" s="276"/>
      <c r="D46" s="276"/>
      <c r="E46" s="277"/>
      <c r="F46" s="131"/>
      <c r="G46" s="275" t="s">
        <v>209</v>
      </c>
      <c r="H46" s="276"/>
      <c r="I46" s="276"/>
      <c r="J46" s="277"/>
      <c r="K46" s="131"/>
      <c r="L46" s="275" t="s">
        <v>211</v>
      </c>
      <c r="M46" s="276"/>
      <c r="N46" s="276"/>
      <c r="O46" s="277"/>
      <c r="P46" s="131"/>
      <c r="Q46" s="275" t="s">
        <v>213</v>
      </c>
      <c r="R46" s="276"/>
      <c r="S46" s="276"/>
      <c r="T46" s="277"/>
      <c r="U46" s="131"/>
      <c r="V46" s="275" t="s">
        <v>128</v>
      </c>
      <c r="W46" s="276"/>
      <c r="X46" s="276"/>
      <c r="Y46" s="277"/>
      <c r="Z46" s="60"/>
      <c r="AA46" s="275" t="s">
        <v>129</v>
      </c>
      <c r="AB46" s="276"/>
      <c r="AC46" s="276"/>
      <c r="AD46" s="277"/>
      <c r="AF46" s="150">
        <v>104</v>
      </c>
      <c r="AG46" s="150"/>
      <c r="AH46" s="150" t="s">
        <v>392</v>
      </c>
      <c r="AI46" s="150" t="s">
        <v>393</v>
      </c>
      <c r="AJ46"/>
      <c r="AK46" s="150">
        <v>104</v>
      </c>
      <c r="AL46" s="150"/>
      <c r="AM46" s="150" t="s">
        <v>392</v>
      </c>
      <c r="AN46" s="150" t="s">
        <v>393</v>
      </c>
    </row>
    <row r="47" spans="1:42" ht="18" x14ac:dyDescent="0.25">
      <c r="A47" s="319"/>
      <c r="B47" s="119"/>
      <c r="C47" s="122" t="s">
        <v>140</v>
      </c>
      <c r="D47" s="122" t="s">
        <v>141</v>
      </c>
      <c r="E47" s="122" t="s">
        <v>202</v>
      </c>
      <c r="F47" s="131"/>
      <c r="G47" s="119"/>
      <c r="H47" s="122" t="s">
        <v>140</v>
      </c>
      <c r="I47" s="122" t="s">
        <v>141</v>
      </c>
      <c r="J47" s="122" t="s">
        <v>202</v>
      </c>
      <c r="K47" s="131"/>
      <c r="L47" s="119"/>
      <c r="M47" s="122" t="s">
        <v>140</v>
      </c>
      <c r="N47" s="122" t="s">
        <v>141</v>
      </c>
      <c r="O47" s="122" t="s">
        <v>202</v>
      </c>
      <c r="P47" s="131"/>
      <c r="Q47" s="119"/>
      <c r="R47" s="122" t="s">
        <v>140</v>
      </c>
      <c r="S47" s="122" t="s">
        <v>141</v>
      </c>
      <c r="T47" s="122" t="s">
        <v>202</v>
      </c>
      <c r="U47" s="131"/>
      <c r="V47" s="119"/>
      <c r="W47" s="122" t="s">
        <v>140</v>
      </c>
      <c r="X47" s="122" t="s">
        <v>141</v>
      </c>
      <c r="Y47" s="122" t="s">
        <v>202</v>
      </c>
      <c r="Z47" s="60"/>
      <c r="AA47" s="119"/>
      <c r="AB47" s="122" t="s">
        <v>140</v>
      </c>
      <c r="AC47" s="122" t="s">
        <v>141</v>
      </c>
      <c r="AD47" s="122" t="s">
        <v>202</v>
      </c>
      <c r="AF47" s="151"/>
      <c r="AG47" s="61" t="s">
        <v>102</v>
      </c>
      <c r="AH47" s="142">
        <f>D65</f>
        <v>18.561167500000003</v>
      </c>
      <c r="AI47" s="142">
        <f>D54</f>
        <v>18.561167500000003</v>
      </c>
      <c r="AJ47"/>
      <c r="AK47" s="151"/>
      <c r="AL47" s="61" t="s">
        <v>385</v>
      </c>
      <c r="AM47" s="142">
        <f>E65</f>
        <v>13.423975</v>
      </c>
      <c r="AN47" s="142">
        <f>E54</f>
        <v>13.423975</v>
      </c>
    </row>
    <row r="48" spans="1:42" x14ac:dyDescent="0.25">
      <c r="A48" s="319"/>
      <c r="B48" s="119" t="s">
        <v>142</v>
      </c>
      <c r="C48" s="5">
        <v>0.5</v>
      </c>
      <c r="D48" s="5">
        <f>$AI$7</f>
        <v>10.056335000000001</v>
      </c>
      <c r="E48" s="5">
        <f>$AF$7</f>
        <v>6.0279500000000006</v>
      </c>
      <c r="F48" s="131"/>
      <c r="G48" s="119" t="s">
        <v>142</v>
      </c>
      <c r="H48" s="5">
        <v>1</v>
      </c>
      <c r="I48" s="5">
        <f>$AI$7</f>
        <v>10.056335000000001</v>
      </c>
      <c r="J48" s="5">
        <f>$AF$7</f>
        <v>6.0279500000000006</v>
      </c>
      <c r="K48" s="131"/>
      <c r="L48" s="119" t="s">
        <v>142</v>
      </c>
      <c r="M48" s="5">
        <v>0.5</v>
      </c>
      <c r="N48" s="5">
        <f>$AI$7</f>
        <v>10.056335000000001</v>
      </c>
      <c r="O48" s="5">
        <f>$AF$7</f>
        <v>6.0279500000000006</v>
      </c>
      <c r="P48" s="131"/>
      <c r="Q48" s="119" t="s">
        <v>142</v>
      </c>
      <c r="R48" s="5">
        <v>0.5</v>
      </c>
      <c r="S48" s="5">
        <f>$AI$7</f>
        <v>10.056335000000001</v>
      </c>
      <c r="T48" s="5">
        <f>$AF$7</f>
        <v>6.0279500000000006</v>
      </c>
      <c r="U48" s="131"/>
      <c r="V48" s="119" t="s">
        <v>142</v>
      </c>
      <c r="W48" s="5">
        <v>1</v>
      </c>
      <c r="X48" s="5">
        <f>$AI$7</f>
        <v>10.056335000000001</v>
      </c>
      <c r="Y48" s="5">
        <f>$AF$7</f>
        <v>6.0279500000000006</v>
      </c>
      <c r="Z48" s="60"/>
      <c r="AA48" s="119" t="s">
        <v>142</v>
      </c>
      <c r="AB48" s="5">
        <v>0.5</v>
      </c>
      <c r="AC48" s="5">
        <f>$AI$7</f>
        <v>10.056335000000001</v>
      </c>
      <c r="AD48" s="5">
        <f>$AF$7</f>
        <v>6.0279500000000006</v>
      </c>
      <c r="AF48" s="152">
        <v>105</v>
      </c>
      <c r="AG48" s="152"/>
      <c r="AH48" s="152" t="s">
        <v>394</v>
      </c>
      <c r="AI48" s="152" t="s">
        <v>395</v>
      </c>
      <c r="AJ48"/>
      <c r="AK48" s="152">
        <v>105</v>
      </c>
      <c r="AL48" s="152"/>
      <c r="AM48" s="152" t="s">
        <v>394</v>
      </c>
      <c r="AN48" s="152" t="s">
        <v>395</v>
      </c>
    </row>
    <row r="49" spans="1:40" x14ac:dyDescent="0.25">
      <c r="A49" s="319"/>
      <c r="B49" s="119" t="s">
        <v>143</v>
      </c>
      <c r="C49" s="5">
        <v>0</v>
      </c>
      <c r="D49" s="5">
        <f>$AI$9</f>
        <v>10.560335</v>
      </c>
      <c r="E49" s="5">
        <f>$AF$9</f>
        <v>5.9079499999999996</v>
      </c>
      <c r="F49" s="131"/>
      <c r="G49" s="119" t="s">
        <v>143</v>
      </c>
      <c r="H49" s="5">
        <v>0</v>
      </c>
      <c r="I49" s="5">
        <f>$AI$9</f>
        <v>10.560335</v>
      </c>
      <c r="J49" s="5">
        <f>$AF$9</f>
        <v>5.9079499999999996</v>
      </c>
      <c r="K49" s="131"/>
      <c r="L49" s="119" t="s">
        <v>143</v>
      </c>
      <c r="M49" s="5">
        <v>0</v>
      </c>
      <c r="N49" s="5">
        <f>$AI$9</f>
        <v>10.560335</v>
      </c>
      <c r="O49" s="5">
        <f>$AF$9</f>
        <v>5.9079499999999996</v>
      </c>
      <c r="P49" s="131"/>
      <c r="Q49" s="119" t="s">
        <v>143</v>
      </c>
      <c r="R49" s="5">
        <v>0</v>
      </c>
      <c r="S49" s="5">
        <f>$AI$9</f>
        <v>10.560335</v>
      </c>
      <c r="T49" s="5">
        <f>$AF$9</f>
        <v>5.9079499999999996</v>
      </c>
      <c r="U49" s="131"/>
      <c r="V49" s="119" t="s">
        <v>143</v>
      </c>
      <c r="W49" s="5">
        <v>0</v>
      </c>
      <c r="X49" s="5">
        <f>$AI$9</f>
        <v>10.560335</v>
      </c>
      <c r="Y49" s="5">
        <f>$AF$9</f>
        <v>5.9079499999999996</v>
      </c>
      <c r="Z49" s="60"/>
      <c r="AA49" s="119" t="s">
        <v>143</v>
      </c>
      <c r="AB49" s="5">
        <v>0</v>
      </c>
      <c r="AC49" s="5">
        <f>$AI$9</f>
        <v>10.560335</v>
      </c>
      <c r="AD49" s="5">
        <f>$AF$9</f>
        <v>5.9079499999999996</v>
      </c>
      <c r="AF49" s="151"/>
      <c r="AG49" s="61" t="s">
        <v>102</v>
      </c>
      <c r="AH49" s="142">
        <f>I65</f>
        <v>11.109335000000002</v>
      </c>
      <c r="AI49" s="142">
        <f>I54</f>
        <v>11.109335000000002</v>
      </c>
      <c r="AJ49"/>
      <c r="AK49" s="151"/>
      <c r="AL49" s="61" t="s">
        <v>385</v>
      </c>
      <c r="AM49" s="142">
        <f>J65</f>
        <v>6.8379500000000011</v>
      </c>
      <c r="AN49" s="142">
        <f>J54</f>
        <v>6.8379500000000011</v>
      </c>
    </row>
    <row r="50" spans="1:40" x14ac:dyDescent="0.25">
      <c r="A50" s="319"/>
      <c r="B50" s="119" t="s">
        <v>145</v>
      </c>
      <c r="C50" s="5">
        <v>0</v>
      </c>
      <c r="D50" s="5">
        <f>$AI$10</f>
        <v>17.240725948587251</v>
      </c>
      <c r="E50" s="5">
        <f>$AF$10</f>
        <v>11.04671226814404</v>
      </c>
      <c r="F50" s="131"/>
      <c r="G50" s="119" t="s">
        <v>145</v>
      </c>
      <c r="H50" s="5">
        <v>0</v>
      </c>
      <c r="I50" s="5">
        <f>$AI$10</f>
        <v>17.240725948587251</v>
      </c>
      <c r="J50" s="5">
        <f>$AF$10</f>
        <v>11.04671226814404</v>
      </c>
      <c r="K50" s="131"/>
      <c r="L50" s="119" t="s">
        <v>145</v>
      </c>
      <c r="M50" s="5">
        <v>0</v>
      </c>
      <c r="N50" s="5">
        <f>$AI$10</f>
        <v>17.240725948587251</v>
      </c>
      <c r="O50" s="5">
        <f>$AF$10</f>
        <v>11.04671226814404</v>
      </c>
      <c r="P50" s="131"/>
      <c r="Q50" s="119" t="s">
        <v>145</v>
      </c>
      <c r="R50" s="5">
        <v>0</v>
      </c>
      <c r="S50" s="5">
        <f>$AI$10</f>
        <v>17.240725948587251</v>
      </c>
      <c r="T50" s="5">
        <f>$AF$10</f>
        <v>11.04671226814404</v>
      </c>
      <c r="U50" s="131"/>
      <c r="V50" s="119" t="s">
        <v>145</v>
      </c>
      <c r="W50" s="5">
        <v>0</v>
      </c>
      <c r="X50" s="5">
        <f>$AI$10</f>
        <v>17.240725948587251</v>
      </c>
      <c r="Y50" s="5">
        <f>$AF$10</f>
        <v>11.04671226814404</v>
      </c>
      <c r="Z50" s="60"/>
      <c r="AA50" s="119" t="s">
        <v>145</v>
      </c>
      <c r="AB50" s="5">
        <v>0</v>
      </c>
      <c r="AC50" s="5">
        <f>$AI$10</f>
        <v>17.240725948587251</v>
      </c>
      <c r="AD50" s="5">
        <f>$AF$10</f>
        <v>11.04671226814404</v>
      </c>
      <c r="AF50" s="153">
        <v>106</v>
      </c>
      <c r="AG50" s="153"/>
      <c r="AH50" s="153" t="s">
        <v>396</v>
      </c>
      <c r="AI50" s="153" t="s">
        <v>397</v>
      </c>
      <c r="AJ50"/>
      <c r="AK50" s="153">
        <v>106</v>
      </c>
      <c r="AL50" s="153"/>
      <c r="AM50" s="153" t="s">
        <v>396</v>
      </c>
      <c r="AN50" s="153" t="s">
        <v>397</v>
      </c>
    </row>
    <row r="51" spans="1:40" x14ac:dyDescent="0.25">
      <c r="A51" s="319"/>
      <c r="B51" s="120" t="s">
        <v>146</v>
      </c>
      <c r="C51" s="121"/>
      <c r="D51" s="5">
        <f>$AI$11</f>
        <v>7.8000000000000007</v>
      </c>
      <c r="E51" s="5">
        <f>$AF$11</f>
        <v>6</v>
      </c>
      <c r="F51" s="131"/>
      <c r="G51" s="43" t="s">
        <v>146</v>
      </c>
      <c r="H51" s="44"/>
      <c r="I51" s="5">
        <v>0</v>
      </c>
      <c r="J51" s="5">
        <v>0</v>
      </c>
      <c r="K51" s="131"/>
      <c r="L51" s="43" t="s">
        <v>146</v>
      </c>
      <c r="M51" s="44"/>
      <c r="N51" s="5">
        <f>$AI$11</f>
        <v>7.8000000000000007</v>
      </c>
      <c r="O51" s="5">
        <f>$AF$11</f>
        <v>6</v>
      </c>
      <c r="P51" s="131"/>
      <c r="Q51" s="120" t="s">
        <v>146</v>
      </c>
      <c r="R51" s="121"/>
      <c r="S51" s="5">
        <f>$AI$11</f>
        <v>7.8000000000000007</v>
      </c>
      <c r="T51" s="5">
        <f>$AF$11</f>
        <v>6</v>
      </c>
      <c r="U51" s="131"/>
      <c r="V51" s="120" t="s">
        <v>146</v>
      </c>
      <c r="W51" s="121"/>
      <c r="X51" s="5">
        <v>0</v>
      </c>
      <c r="Y51" s="5">
        <v>0</v>
      </c>
      <c r="Z51" s="60"/>
      <c r="AA51" s="120" t="s">
        <v>146</v>
      </c>
      <c r="AB51" s="121"/>
      <c r="AC51" s="5">
        <f>$AI$11</f>
        <v>7.8000000000000007</v>
      </c>
      <c r="AD51" s="5">
        <f>$AF$11</f>
        <v>6</v>
      </c>
      <c r="AF51" s="151"/>
      <c r="AG51" s="61" t="s">
        <v>102</v>
      </c>
      <c r="AH51" s="142">
        <f>N65</f>
        <v>23.589335000000002</v>
      </c>
      <c r="AI51" s="142">
        <f>N54</f>
        <v>18.561167500000003</v>
      </c>
      <c r="AJ51"/>
      <c r="AK51" s="151"/>
      <c r="AL51" s="61" t="s">
        <v>385</v>
      </c>
      <c r="AM51" s="142">
        <f>O65</f>
        <v>16.437950000000001</v>
      </c>
      <c r="AN51" s="142">
        <f>O54</f>
        <v>13.423975</v>
      </c>
    </row>
    <row r="52" spans="1:40" x14ac:dyDescent="0.25">
      <c r="A52" s="319"/>
      <c r="B52" s="129"/>
      <c r="C52" s="130"/>
      <c r="D52" s="5">
        <f>C48*D48+C49*D49+C50*D50+D51</f>
        <v>12.828167500000001</v>
      </c>
      <c r="E52" s="5">
        <f>C48*E48+C49*E49+C50*E50+E51</f>
        <v>9.0139750000000003</v>
      </c>
      <c r="F52" s="131"/>
      <c r="G52" s="45"/>
      <c r="H52" s="46"/>
      <c r="I52" s="5">
        <f>H48*I48+H49*I49+H50*I50+I51</f>
        <v>10.056335000000001</v>
      </c>
      <c r="J52" s="5">
        <f>H48*J48+H49*J49+H50*J50+J51</f>
        <v>6.0279500000000006</v>
      </c>
      <c r="K52" s="131"/>
      <c r="L52" s="45"/>
      <c r="M52" s="46"/>
      <c r="N52" s="5">
        <f>M48*N48+M49*N49+M50*N50+N51</f>
        <v>12.828167500000001</v>
      </c>
      <c r="O52" s="5">
        <f>M48*O48+M49*O49+M50*O50+O51</f>
        <v>9.0139750000000003</v>
      </c>
      <c r="P52" s="131"/>
      <c r="Q52" s="129"/>
      <c r="R52" s="130"/>
      <c r="S52" s="5">
        <f>R48*S48+R49*S49+R50*S50+S51</f>
        <v>12.828167500000001</v>
      </c>
      <c r="T52" s="5">
        <f>R48*T48+R49*T49+R50*T50+T51</f>
        <v>9.0139750000000003</v>
      </c>
      <c r="U52" s="131"/>
      <c r="V52" s="129"/>
      <c r="W52" s="130"/>
      <c r="X52" s="5">
        <f>W48*X48+W49*X49+W50*X50+X51</f>
        <v>10.056335000000001</v>
      </c>
      <c r="Y52" s="5">
        <f>W48*Y48+W49*Y49+W50*Y50+Y51</f>
        <v>6.0279500000000006</v>
      </c>
      <c r="Z52" s="60"/>
      <c r="AA52" s="129"/>
      <c r="AB52" s="130"/>
      <c r="AC52" s="5">
        <f>AB48*AC48+AB49*AC49+AB50*AC50+AC51</f>
        <v>12.828167500000001</v>
      </c>
      <c r="AD52" s="5">
        <f>AB48*AD48+AB49*AD49+AB50*AD50+AD51</f>
        <v>9.0139750000000003</v>
      </c>
      <c r="AF52" s="154">
        <v>107</v>
      </c>
      <c r="AG52" s="154"/>
      <c r="AH52" s="154" t="s">
        <v>398</v>
      </c>
      <c r="AI52" s="154" t="s">
        <v>399</v>
      </c>
      <c r="AJ52"/>
      <c r="AK52" s="154">
        <v>107</v>
      </c>
      <c r="AL52" s="154"/>
      <c r="AM52" s="154" t="s">
        <v>398</v>
      </c>
      <c r="AN52" s="154" t="s">
        <v>399</v>
      </c>
    </row>
    <row r="53" spans="1:40" x14ac:dyDescent="0.25">
      <c r="A53" s="319"/>
      <c r="B53" s="179" t="s">
        <v>201</v>
      </c>
      <c r="C53" s="181"/>
      <c r="D53" s="144">
        <f>E53*1.3</f>
        <v>5.7330000000000005</v>
      </c>
      <c r="E53" s="5">
        <f>(0.3*I7*1*25)-0.3*2.8</f>
        <v>4.41</v>
      </c>
      <c r="F53" s="131"/>
      <c r="G53" s="179" t="s">
        <v>201</v>
      </c>
      <c r="H53" s="181"/>
      <c r="I53" s="144">
        <f>J53*1.3</f>
        <v>1.0530000000000002</v>
      </c>
      <c r="J53" s="5">
        <f>(0.3*M7*1*25)-0.3*2.8</f>
        <v>0.81000000000000016</v>
      </c>
      <c r="K53" s="131"/>
      <c r="L53" s="179" t="s">
        <v>201</v>
      </c>
      <c r="M53" s="181"/>
      <c r="N53" s="144">
        <f>O53*1.3</f>
        <v>5.7330000000000005</v>
      </c>
      <c r="O53" s="5">
        <f>(0.3*I7*1*25)-0.3*2.8</f>
        <v>4.41</v>
      </c>
      <c r="P53" s="131"/>
      <c r="Q53" s="179" t="s">
        <v>201</v>
      </c>
      <c r="R53" s="181"/>
      <c r="S53" s="144">
        <f>T53*1.3</f>
        <v>5.7330000000000005</v>
      </c>
      <c r="T53" s="5">
        <f>(0.3*I7*1*25)-0.3*2.8</f>
        <v>4.41</v>
      </c>
      <c r="U53" s="131"/>
      <c r="V53" s="179" t="s">
        <v>201</v>
      </c>
      <c r="W53" s="181"/>
      <c r="X53" s="144">
        <f>Y53*1.3</f>
        <v>1.0530000000000002</v>
      </c>
      <c r="Y53" s="5">
        <f>(0.3*M7*1*25)-0.3*2.8</f>
        <v>0.81000000000000016</v>
      </c>
      <c r="Z53" s="60"/>
      <c r="AA53" s="179" t="s">
        <v>201</v>
      </c>
      <c r="AB53" s="181"/>
      <c r="AC53" s="144">
        <f>AD53*1.3</f>
        <v>5.7330000000000005</v>
      </c>
      <c r="AD53" s="5">
        <f>(0.3*I7*1*25)-0.3*2.8</f>
        <v>4.41</v>
      </c>
      <c r="AF53" s="151"/>
      <c r="AG53" s="61" t="s">
        <v>102</v>
      </c>
      <c r="AH53" s="142">
        <f>S65</f>
        <v>15.789335000000001</v>
      </c>
      <c r="AI53" s="142">
        <f>S54</f>
        <v>18.561167500000003</v>
      </c>
      <c r="AJ53"/>
      <c r="AK53" s="151"/>
      <c r="AL53" s="61" t="s">
        <v>385</v>
      </c>
      <c r="AM53" s="142">
        <f>T65</f>
        <v>10.437950000000001</v>
      </c>
      <c r="AN53" s="142">
        <f>T54</f>
        <v>13.423975</v>
      </c>
    </row>
    <row r="54" spans="1:40" x14ac:dyDescent="0.25">
      <c r="A54" s="319"/>
      <c r="B54" s="123" t="s">
        <v>109</v>
      </c>
      <c r="C54" s="124"/>
      <c r="D54" s="5">
        <f>SUM(D52:D53)</f>
        <v>18.561167500000003</v>
      </c>
      <c r="E54" s="5">
        <f>SUM(E52:E53)</f>
        <v>13.423975</v>
      </c>
      <c r="F54" s="131"/>
      <c r="G54" s="43" t="s">
        <v>109</v>
      </c>
      <c r="H54" s="44"/>
      <c r="I54" s="5">
        <f>SUM(I52:I53)</f>
        <v>11.109335000000002</v>
      </c>
      <c r="J54" s="5">
        <f>SUM(J52:J53)</f>
        <v>6.8379500000000011</v>
      </c>
      <c r="K54" s="131"/>
      <c r="L54" s="43" t="s">
        <v>109</v>
      </c>
      <c r="M54" s="44"/>
      <c r="N54" s="5">
        <f>SUM(N52:N53)</f>
        <v>18.561167500000003</v>
      </c>
      <c r="O54" s="5">
        <f>SUM(O52:O53)</f>
        <v>13.423975</v>
      </c>
      <c r="P54" s="131"/>
      <c r="Q54" s="123" t="s">
        <v>109</v>
      </c>
      <c r="R54" s="124"/>
      <c r="S54" s="5">
        <f>SUM(S52:S53)</f>
        <v>18.561167500000003</v>
      </c>
      <c r="T54" s="5">
        <f>SUM(T52:T53)</f>
        <v>13.423975</v>
      </c>
      <c r="U54" s="131"/>
      <c r="V54" s="123" t="s">
        <v>109</v>
      </c>
      <c r="W54" s="124"/>
      <c r="X54" s="5">
        <f>SUM(X52:X53)</f>
        <v>11.109335000000002</v>
      </c>
      <c r="Y54" s="5">
        <f>SUM(Y52:Y53)</f>
        <v>6.8379500000000011</v>
      </c>
      <c r="Z54" s="60"/>
      <c r="AA54" s="123" t="s">
        <v>109</v>
      </c>
      <c r="AB54" s="124"/>
      <c r="AC54" s="5">
        <f>SUM(AC52:AC53)</f>
        <v>18.561167500000003</v>
      </c>
      <c r="AD54" s="5">
        <f>SUM(AD52:AD53)</f>
        <v>13.423975</v>
      </c>
      <c r="AF54" s="155">
        <v>108</v>
      </c>
      <c r="AG54" s="155"/>
      <c r="AH54" s="155" t="s">
        <v>400</v>
      </c>
      <c r="AI54" s="155" t="s">
        <v>401</v>
      </c>
      <c r="AJ54"/>
      <c r="AK54" s="155">
        <v>108</v>
      </c>
      <c r="AL54" s="155"/>
      <c r="AM54" s="155" t="s">
        <v>400</v>
      </c>
      <c r="AN54" s="155" t="s">
        <v>401</v>
      </c>
    </row>
    <row r="55" spans="1:40" x14ac:dyDescent="0.25">
      <c r="A55" s="319"/>
      <c r="B55" s="128"/>
      <c r="C55" s="128"/>
      <c r="D55" s="128"/>
      <c r="E55" s="128"/>
      <c r="F55" s="131"/>
      <c r="G55" s="128"/>
      <c r="H55" s="128"/>
      <c r="I55" s="128"/>
      <c r="J55" s="128"/>
      <c r="K55" s="131"/>
      <c r="L55" s="128"/>
      <c r="M55" s="128"/>
      <c r="N55" s="128"/>
      <c r="O55" s="128"/>
      <c r="P55" s="131"/>
      <c r="Q55" s="128"/>
      <c r="R55" s="128"/>
      <c r="S55" s="128"/>
      <c r="T55" s="128"/>
      <c r="U55" s="131"/>
      <c r="V55" s="128"/>
      <c r="W55" s="128"/>
      <c r="X55" s="128"/>
      <c r="Y55" s="128"/>
      <c r="Z55" s="60"/>
      <c r="AA55" s="128"/>
      <c r="AB55" s="128"/>
      <c r="AC55" s="128"/>
      <c r="AD55" s="128"/>
      <c r="AF55" s="151"/>
      <c r="AG55" s="61" t="s">
        <v>102</v>
      </c>
      <c r="AH55" s="142">
        <f>X65</f>
        <v>11.109335000000002</v>
      </c>
      <c r="AI55" s="142">
        <f>X54</f>
        <v>11.109335000000002</v>
      </c>
      <c r="AJ55"/>
      <c r="AK55" s="151"/>
      <c r="AL55" s="61" t="s">
        <v>385</v>
      </c>
      <c r="AM55" s="142">
        <f>Y65</f>
        <v>6.8379500000000011</v>
      </c>
      <c r="AN55" s="142">
        <f>Y54</f>
        <v>6.8379500000000011</v>
      </c>
    </row>
    <row r="56" spans="1:40" x14ac:dyDescent="0.25">
      <c r="A56" s="319"/>
      <c r="B56" s="74"/>
      <c r="C56" s="74"/>
      <c r="D56" s="74"/>
      <c r="E56" s="74"/>
      <c r="F56" s="131"/>
      <c r="G56" s="74"/>
      <c r="H56" s="74"/>
      <c r="I56" s="74"/>
      <c r="J56" s="74"/>
      <c r="K56" s="131"/>
      <c r="L56" s="74"/>
      <c r="M56" s="74"/>
      <c r="N56" s="74"/>
      <c r="O56" s="74"/>
      <c r="P56" s="131"/>
      <c r="Q56" s="74"/>
      <c r="R56" s="74"/>
      <c r="S56" s="74"/>
      <c r="T56" s="74"/>
      <c r="U56" s="131"/>
      <c r="V56" s="74"/>
      <c r="W56" s="74"/>
      <c r="X56" s="74"/>
      <c r="Y56" s="74"/>
      <c r="Z56" s="60"/>
      <c r="AA56" s="74"/>
      <c r="AB56" s="74"/>
      <c r="AC56" s="74"/>
      <c r="AD56" s="74"/>
      <c r="AF56" s="41">
        <v>109</v>
      </c>
      <c r="AG56" s="41"/>
      <c r="AH56" s="41" t="s">
        <v>402</v>
      </c>
      <c r="AI56" s="41" t="s">
        <v>403</v>
      </c>
      <c r="AJ56"/>
      <c r="AK56" s="41">
        <v>109</v>
      </c>
      <c r="AL56" s="41"/>
      <c r="AM56" s="41" t="s">
        <v>402</v>
      </c>
      <c r="AN56" s="41" t="s">
        <v>403</v>
      </c>
    </row>
    <row r="57" spans="1:40" ht="18.75" x14ac:dyDescent="0.25">
      <c r="A57" s="319"/>
      <c r="B57" s="284" t="s">
        <v>206</v>
      </c>
      <c r="C57" s="285"/>
      <c r="D57" s="285"/>
      <c r="E57" s="286"/>
      <c r="G57" s="284" t="s">
        <v>208</v>
      </c>
      <c r="H57" s="285"/>
      <c r="I57" s="285"/>
      <c r="J57" s="286"/>
      <c r="L57" s="284" t="s">
        <v>210</v>
      </c>
      <c r="M57" s="285"/>
      <c r="N57" s="285"/>
      <c r="O57" s="286"/>
      <c r="Q57" s="284" t="s">
        <v>212</v>
      </c>
      <c r="R57" s="285"/>
      <c r="S57" s="285"/>
      <c r="T57" s="286"/>
      <c r="V57" s="284" t="s">
        <v>214</v>
      </c>
      <c r="W57" s="285"/>
      <c r="X57" s="285"/>
      <c r="Y57" s="286"/>
      <c r="AA57" s="284" t="s">
        <v>215</v>
      </c>
      <c r="AB57" s="285"/>
      <c r="AC57" s="285"/>
      <c r="AD57" s="286"/>
      <c r="AF57" s="24"/>
      <c r="AG57" s="61" t="s">
        <v>102</v>
      </c>
      <c r="AH57" s="142">
        <f>AC65</f>
        <v>18.561167500000003</v>
      </c>
      <c r="AI57" s="142">
        <f>AC54</f>
        <v>18.561167500000003</v>
      </c>
      <c r="AJ57"/>
      <c r="AK57" s="24"/>
      <c r="AL57" s="61" t="s">
        <v>385</v>
      </c>
      <c r="AM57" s="142">
        <f>AD65</f>
        <v>13.423975</v>
      </c>
      <c r="AN57" s="142">
        <f>AD54</f>
        <v>13.423975</v>
      </c>
    </row>
    <row r="58" spans="1:40" ht="18" x14ac:dyDescent="0.25">
      <c r="A58" s="319"/>
      <c r="B58" s="119"/>
      <c r="C58" s="122" t="s">
        <v>140</v>
      </c>
      <c r="D58" s="122" t="s">
        <v>141</v>
      </c>
      <c r="E58" s="122" t="s">
        <v>202</v>
      </c>
      <c r="G58" s="119"/>
      <c r="H58" s="122" t="s">
        <v>140</v>
      </c>
      <c r="I58" s="122" t="s">
        <v>141</v>
      </c>
      <c r="J58" s="122" t="s">
        <v>202</v>
      </c>
      <c r="L58" s="119"/>
      <c r="M58" s="122" t="s">
        <v>140</v>
      </c>
      <c r="N58" s="122" t="s">
        <v>141</v>
      </c>
      <c r="O58" s="122" t="s">
        <v>202</v>
      </c>
      <c r="Q58" s="119"/>
      <c r="R58" s="122" t="s">
        <v>140</v>
      </c>
      <c r="S58" s="122" t="s">
        <v>141</v>
      </c>
      <c r="T58" s="122" t="s">
        <v>202</v>
      </c>
      <c r="V58" s="119"/>
      <c r="W58" s="122" t="s">
        <v>140</v>
      </c>
      <c r="X58" s="122" t="s">
        <v>141</v>
      </c>
      <c r="Y58" s="122" t="s">
        <v>202</v>
      </c>
      <c r="AA58" s="119"/>
      <c r="AB58" s="122" t="s">
        <v>140</v>
      </c>
      <c r="AC58" s="122" t="s">
        <v>141</v>
      </c>
      <c r="AD58" s="122" t="s">
        <v>202</v>
      </c>
    </row>
    <row r="59" spans="1:40" x14ac:dyDescent="0.25">
      <c r="A59" s="319"/>
      <c r="B59" s="119" t="s">
        <v>142</v>
      </c>
      <c r="C59" s="5">
        <v>0.5</v>
      </c>
      <c r="D59" s="5">
        <f>$AI$7</f>
        <v>10.056335000000001</v>
      </c>
      <c r="E59" s="5">
        <f>$AF$7</f>
        <v>6.0279500000000006</v>
      </c>
      <c r="G59" s="119" t="s">
        <v>142</v>
      </c>
      <c r="H59" s="5">
        <v>1</v>
      </c>
      <c r="I59" s="5">
        <f>$AI$7</f>
        <v>10.056335000000001</v>
      </c>
      <c r="J59" s="5">
        <f>$AF$7</f>
        <v>6.0279500000000006</v>
      </c>
      <c r="L59" s="119" t="s">
        <v>142</v>
      </c>
      <c r="M59" s="5">
        <v>1</v>
      </c>
      <c r="N59" s="5">
        <f>$AI$7</f>
        <v>10.056335000000001</v>
      </c>
      <c r="O59" s="5">
        <f>$AF$7</f>
        <v>6.0279500000000006</v>
      </c>
      <c r="Q59" s="119" t="s">
        <v>142</v>
      </c>
      <c r="R59" s="5">
        <v>1</v>
      </c>
      <c r="S59" s="5">
        <f>$AI$7</f>
        <v>10.056335000000001</v>
      </c>
      <c r="T59" s="5">
        <f>$AF$7</f>
        <v>6.0279500000000006</v>
      </c>
      <c r="V59" s="119" t="s">
        <v>142</v>
      </c>
      <c r="W59" s="5">
        <v>1</v>
      </c>
      <c r="X59" s="5">
        <f>$AI$7</f>
        <v>10.056335000000001</v>
      </c>
      <c r="Y59" s="5">
        <f>$AF$7</f>
        <v>6.0279500000000006</v>
      </c>
      <c r="AA59" s="119" t="s">
        <v>142</v>
      </c>
      <c r="AB59" s="5">
        <v>0.5</v>
      </c>
      <c r="AC59" s="5">
        <f>$AI$7</f>
        <v>10.056335000000001</v>
      </c>
      <c r="AD59" s="5">
        <f>$AF$7</f>
        <v>6.0279500000000006</v>
      </c>
    </row>
    <row r="60" spans="1:40" x14ac:dyDescent="0.25">
      <c r="A60" s="319"/>
      <c r="B60" s="119" t="s">
        <v>143</v>
      </c>
      <c r="C60" s="5">
        <v>0</v>
      </c>
      <c r="D60" s="5">
        <f>$AI$9</f>
        <v>10.560335</v>
      </c>
      <c r="E60" s="5">
        <f>$AF$9</f>
        <v>5.9079499999999996</v>
      </c>
      <c r="G60" s="119" t="s">
        <v>143</v>
      </c>
      <c r="H60" s="5">
        <v>0</v>
      </c>
      <c r="I60" s="5">
        <f>$AI$9</f>
        <v>10.560335</v>
      </c>
      <c r="J60" s="5">
        <f>$AF$9</f>
        <v>5.9079499999999996</v>
      </c>
      <c r="L60" s="119" t="s">
        <v>143</v>
      </c>
      <c r="M60" s="5">
        <v>0</v>
      </c>
      <c r="N60" s="5">
        <f>$AI$9</f>
        <v>10.560335</v>
      </c>
      <c r="O60" s="5">
        <f>$AF$9</f>
        <v>5.9079499999999996</v>
      </c>
      <c r="Q60" s="119" t="s">
        <v>143</v>
      </c>
      <c r="R60" s="5">
        <v>0</v>
      </c>
      <c r="S60" s="5">
        <f>$AI$9</f>
        <v>10.560335</v>
      </c>
      <c r="T60" s="5">
        <f>$AF$9</f>
        <v>5.9079499999999996</v>
      </c>
      <c r="V60" s="119" t="s">
        <v>143</v>
      </c>
      <c r="W60" s="5">
        <v>0</v>
      </c>
      <c r="X60" s="5">
        <f>$AI$9</f>
        <v>10.560335</v>
      </c>
      <c r="Y60" s="5">
        <f>$AF$9</f>
        <v>5.9079499999999996</v>
      </c>
      <c r="AA60" s="119" t="s">
        <v>143</v>
      </c>
      <c r="AB60" s="5">
        <v>0</v>
      </c>
      <c r="AC60" s="5">
        <f>$AI$9</f>
        <v>10.560335</v>
      </c>
      <c r="AD60" s="5">
        <f>$AF$9</f>
        <v>5.9079499999999996</v>
      </c>
    </row>
    <row r="61" spans="1:40" x14ac:dyDescent="0.25">
      <c r="A61" s="319"/>
      <c r="B61" s="119" t="s">
        <v>145</v>
      </c>
      <c r="C61" s="5">
        <v>0</v>
      </c>
      <c r="D61" s="5">
        <f>$AI$10</f>
        <v>17.240725948587251</v>
      </c>
      <c r="E61" s="5">
        <f>$AF$10</f>
        <v>11.04671226814404</v>
      </c>
      <c r="G61" s="119" t="s">
        <v>145</v>
      </c>
      <c r="H61" s="5">
        <v>0</v>
      </c>
      <c r="I61" s="5">
        <f>$AI$10</f>
        <v>17.240725948587251</v>
      </c>
      <c r="J61" s="5">
        <f>$AF$10</f>
        <v>11.04671226814404</v>
      </c>
      <c r="L61" s="119" t="s">
        <v>145</v>
      </c>
      <c r="M61" s="5">
        <v>0</v>
      </c>
      <c r="N61" s="5">
        <f>$AI$10</f>
        <v>17.240725948587251</v>
      </c>
      <c r="O61" s="5">
        <f>$AF$10</f>
        <v>11.04671226814404</v>
      </c>
      <c r="Q61" s="119" t="s">
        <v>145</v>
      </c>
      <c r="R61" s="5">
        <v>0</v>
      </c>
      <c r="S61" s="5">
        <f>$AI$10</f>
        <v>17.240725948587251</v>
      </c>
      <c r="T61" s="5">
        <f>$AF$10</f>
        <v>11.04671226814404</v>
      </c>
      <c r="V61" s="119" t="s">
        <v>145</v>
      </c>
      <c r="W61" s="5">
        <v>0</v>
      </c>
      <c r="X61" s="5">
        <f>$AI$10</f>
        <v>17.240725948587251</v>
      </c>
      <c r="Y61" s="5">
        <f>$AF$10</f>
        <v>11.04671226814404</v>
      </c>
      <c r="AA61" s="119" t="s">
        <v>145</v>
      </c>
      <c r="AB61" s="5">
        <v>0</v>
      </c>
      <c r="AC61" s="5">
        <f>$AI$10</f>
        <v>17.240725948587251</v>
      </c>
      <c r="AD61" s="5">
        <f>$AF$10</f>
        <v>11.04671226814404</v>
      </c>
    </row>
    <row r="62" spans="1:40" x14ac:dyDescent="0.25">
      <c r="A62" s="319"/>
      <c r="B62" s="167" t="s">
        <v>146</v>
      </c>
      <c r="C62" s="168"/>
      <c r="D62" s="5">
        <f>$AI$11</f>
        <v>7.8000000000000007</v>
      </c>
      <c r="E62" s="5">
        <f>$AF$11</f>
        <v>6</v>
      </c>
      <c r="G62" s="43" t="s">
        <v>146</v>
      </c>
      <c r="H62" s="44"/>
      <c r="I62" s="5">
        <v>0</v>
      </c>
      <c r="J62" s="5">
        <v>0</v>
      </c>
      <c r="L62" s="43" t="s">
        <v>146</v>
      </c>
      <c r="M62" s="44"/>
      <c r="N62" s="5">
        <f>$AI$11</f>
        <v>7.8000000000000007</v>
      </c>
      <c r="O62" s="5">
        <f>$AF$11</f>
        <v>6</v>
      </c>
      <c r="Q62" s="167" t="s">
        <v>146</v>
      </c>
      <c r="R62" s="168"/>
      <c r="S62" s="5">
        <v>0</v>
      </c>
      <c r="T62" s="5">
        <v>0</v>
      </c>
      <c r="V62" s="167" t="s">
        <v>146</v>
      </c>
      <c r="W62" s="168"/>
      <c r="X62" s="5">
        <v>0</v>
      </c>
      <c r="Y62" s="5">
        <v>0</v>
      </c>
      <c r="AA62" s="167" t="s">
        <v>146</v>
      </c>
      <c r="AB62" s="168"/>
      <c r="AC62" s="5">
        <f>$AI$11</f>
        <v>7.8000000000000007</v>
      </c>
      <c r="AD62" s="5">
        <f>$AF$11</f>
        <v>6</v>
      </c>
    </row>
    <row r="63" spans="1:40" x14ac:dyDescent="0.25">
      <c r="A63" s="319"/>
      <c r="B63" s="273"/>
      <c r="C63" s="274"/>
      <c r="D63" s="5">
        <f>C59*D59+C60*D60+C61*D61+D62</f>
        <v>12.828167500000001</v>
      </c>
      <c r="E63" s="5">
        <f>C59*E59+C60*E60+C61*E61+E62</f>
        <v>9.0139750000000003</v>
      </c>
      <c r="G63" s="45"/>
      <c r="H63" s="46"/>
      <c r="I63" s="5">
        <f>H59*I59+H60*I60+H61*I61+I62</f>
        <v>10.056335000000001</v>
      </c>
      <c r="J63" s="5">
        <f>H59*J59+H60*J60+H61*J61+J62</f>
        <v>6.0279500000000006</v>
      </c>
      <c r="L63" s="45"/>
      <c r="M63" s="46"/>
      <c r="N63" s="5">
        <f>M59*N59+M60*N60+M61*N61+N62</f>
        <v>17.856335000000001</v>
      </c>
      <c r="O63" s="5">
        <f>M59*O59+M60*O60+M61*O61+O62</f>
        <v>12.027950000000001</v>
      </c>
      <c r="Q63" s="273"/>
      <c r="R63" s="274"/>
      <c r="S63" s="5">
        <f>R59*S59+R60*S60+R61*S61+S62</f>
        <v>10.056335000000001</v>
      </c>
      <c r="T63" s="5">
        <f>R59*T59+R60*T60+R61*T61+T62</f>
        <v>6.0279500000000006</v>
      </c>
      <c r="V63" s="273"/>
      <c r="W63" s="274"/>
      <c r="X63" s="5">
        <f>W59*X59+W60*X60+W61*X61+X62</f>
        <v>10.056335000000001</v>
      </c>
      <c r="Y63" s="5">
        <f>W59*Y59+W60*Y60+W61*Y61+Y62</f>
        <v>6.0279500000000006</v>
      </c>
      <c r="AA63" s="273"/>
      <c r="AB63" s="274"/>
      <c r="AC63" s="5">
        <f>AB59*AC59+AB60*AC60+AB61*AC61+AC62</f>
        <v>12.828167500000001</v>
      </c>
      <c r="AD63" s="5">
        <f>AB59*AD59+AB60*AD60+AB61*AD61+AD62</f>
        <v>9.0139750000000003</v>
      </c>
    </row>
    <row r="64" spans="1:40" x14ac:dyDescent="0.25">
      <c r="A64" s="319"/>
      <c r="B64" s="179" t="s">
        <v>201</v>
      </c>
      <c r="C64" s="181"/>
      <c r="D64" s="144">
        <f>E64*1.3</f>
        <v>5.7330000000000005</v>
      </c>
      <c r="E64" s="5">
        <f>(0.3*I7*1*25)-0.3*2.8</f>
        <v>4.41</v>
      </c>
      <c r="G64" s="179" t="s">
        <v>201</v>
      </c>
      <c r="H64" s="181"/>
      <c r="I64" s="144">
        <f>J64*1.3</f>
        <v>1.0530000000000002</v>
      </c>
      <c r="J64" s="5">
        <f>(0.3*M7*1*25)-0.3*2.8</f>
        <v>0.81000000000000016</v>
      </c>
      <c r="L64" s="179" t="s">
        <v>201</v>
      </c>
      <c r="M64" s="181"/>
      <c r="N64" s="144">
        <f>O64*1.3</f>
        <v>5.7330000000000005</v>
      </c>
      <c r="O64" s="5">
        <f>(0.3*I7*1*25)-0.3*2.8</f>
        <v>4.41</v>
      </c>
      <c r="Q64" s="179" t="s">
        <v>201</v>
      </c>
      <c r="R64" s="181"/>
      <c r="S64" s="144">
        <f>T64*1.3</f>
        <v>5.7330000000000005</v>
      </c>
      <c r="T64" s="5">
        <f>(0.3*I7*1*25)-0.3*2.8</f>
        <v>4.41</v>
      </c>
      <c r="V64" s="179" t="s">
        <v>201</v>
      </c>
      <c r="W64" s="181"/>
      <c r="X64" s="144">
        <f>Y64*1.3</f>
        <v>1.0530000000000002</v>
      </c>
      <c r="Y64" s="5">
        <f>(0.3*M7*1*25)-0.3*2.8</f>
        <v>0.81000000000000016</v>
      </c>
      <c r="AA64" s="179" t="s">
        <v>201</v>
      </c>
      <c r="AB64" s="181"/>
      <c r="AC64" s="144">
        <f>AD64*1.3</f>
        <v>5.7330000000000005</v>
      </c>
      <c r="AD64" s="5">
        <f>(0.3*I7*1*25)-0.3*2.8</f>
        <v>4.41</v>
      </c>
    </row>
    <row r="65" spans="1:30" x14ac:dyDescent="0.25">
      <c r="A65" s="319"/>
      <c r="B65" s="179" t="s">
        <v>109</v>
      </c>
      <c r="C65" s="181"/>
      <c r="D65" s="5">
        <f>SUM(D63:D64)</f>
        <v>18.561167500000003</v>
      </c>
      <c r="E65" s="5">
        <f>SUM(E63:E64)</f>
        <v>13.423975</v>
      </c>
      <c r="G65" s="43" t="s">
        <v>109</v>
      </c>
      <c r="H65" s="44"/>
      <c r="I65" s="5">
        <f>SUM(I63:I64)</f>
        <v>11.109335000000002</v>
      </c>
      <c r="J65" s="5">
        <f>SUM(J63:J64)</f>
        <v>6.8379500000000011</v>
      </c>
      <c r="L65" s="43" t="s">
        <v>109</v>
      </c>
      <c r="M65" s="44"/>
      <c r="N65" s="5">
        <f>SUM(N63:N64)</f>
        <v>23.589335000000002</v>
      </c>
      <c r="O65" s="5">
        <f>SUM(O63:O64)</f>
        <v>16.437950000000001</v>
      </c>
      <c r="Q65" s="179" t="s">
        <v>109</v>
      </c>
      <c r="R65" s="181"/>
      <c r="S65" s="5">
        <f>SUM(S63:S64)</f>
        <v>15.789335000000001</v>
      </c>
      <c r="T65" s="5">
        <f>SUM(T63:T64)</f>
        <v>10.437950000000001</v>
      </c>
      <c r="V65" s="179" t="s">
        <v>109</v>
      </c>
      <c r="W65" s="181"/>
      <c r="X65" s="5">
        <f>SUM(X63:X64)</f>
        <v>11.109335000000002</v>
      </c>
      <c r="Y65" s="5">
        <f>SUM(Y63:Y64)</f>
        <v>6.8379500000000011</v>
      </c>
      <c r="AA65" s="179" t="s">
        <v>109</v>
      </c>
      <c r="AB65" s="181"/>
      <c r="AC65" s="5">
        <f>SUM(AC63:AC64)</f>
        <v>18.561167500000003</v>
      </c>
      <c r="AD65" s="5">
        <f>SUM(AD63:AD64)</f>
        <v>13.423975</v>
      </c>
    </row>
    <row r="66" spans="1:30" x14ac:dyDescent="0.25">
      <c r="A66" s="12"/>
    </row>
    <row r="67" spans="1:30" x14ac:dyDescent="0.25">
      <c r="A67" s="12"/>
    </row>
    <row r="68" spans="1:30" x14ac:dyDescent="0.25">
      <c r="A68" s="12"/>
    </row>
    <row r="69" spans="1:30" x14ac:dyDescent="0.25">
      <c r="A69" s="12"/>
    </row>
    <row r="70" spans="1:30" x14ac:dyDescent="0.25">
      <c r="A70" s="12"/>
    </row>
    <row r="71" spans="1:30" x14ac:dyDescent="0.25">
      <c r="A71" s="12"/>
    </row>
    <row r="72" spans="1:30" x14ac:dyDescent="0.25">
      <c r="A72" s="12"/>
    </row>
    <row r="73" spans="1:30" x14ac:dyDescent="0.25">
      <c r="A73" s="12"/>
    </row>
    <row r="74" spans="1:30" x14ac:dyDescent="0.25">
      <c r="A74" s="12"/>
    </row>
    <row r="75" spans="1:30" x14ac:dyDescent="0.25">
      <c r="A75" s="12"/>
    </row>
  </sheetData>
  <mergeCells count="158">
    <mergeCell ref="B17:C17"/>
    <mergeCell ref="G17:H17"/>
    <mergeCell ref="L17:M17"/>
    <mergeCell ref="Q17:R17"/>
    <mergeCell ref="V17:W17"/>
    <mergeCell ref="AA19:AC19"/>
    <mergeCell ref="G6:I6"/>
    <mergeCell ref="K6:M6"/>
    <mergeCell ref="G7:H7"/>
    <mergeCell ref="K7:L7"/>
    <mergeCell ref="B10:Y11"/>
    <mergeCell ref="B12:E12"/>
    <mergeCell ref="G12:J12"/>
    <mergeCell ref="L12:O12"/>
    <mergeCell ref="Q12:T12"/>
    <mergeCell ref="V12:Y12"/>
    <mergeCell ref="G18:H18"/>
    <mergeCell ref="L18:M18"/>
    <mergeCell ref="Q18:R18"/>
    <mergeCell ref="V18:W18"/>
    <mergeCell ref="B19:C19"/>
    <mergeCell ref="G19:H19"/>
    <mergeCell ref="L19:M19"/>
    <mergeCell ref="Q19:R19"/>
    <mergeCell ref="V19:W19"/>
    <mergeCell ref="AJ34:AP34"/>
    <mergeCell ref="AL35:AP35"/>
    <mergeCell ref="B28:C28"/>
    <mergeCell ref="G28:H28"/>
    <mergeCell ref="L28:M28"/>
    <mergeCell ref="Q28:R28"/>
    <mergeCell ref="V28:W28"/>
    <mergeCell ref="B20:C20"/>
    <mergeCell ref="G20:H20"/>
    <mergeCell ref="L20:M20"/>
    <mergeCell ref="Q20:R20"/>
    <mergeCell ref="V20:W20"/>
    <mergeCell ref="B23:E23"/>
    <mergeCell ref="G23:J23"/>
    <mergeCell ref="L23:O23"/>
    <mergeCell ref="Q23:T23"/>
    <mergeCell ref="V23:Y23"/>
    <mergeCell ref="AB34:AH34"/>
    <mergeCell ref="AD35:AH35"/>
    <mergeCell ref="B29:C29"/>
    <mergeCell ref="G29:H29"/>
    <mergeCell ref="L29:M29"/>
    <mergeCell ref="Q29:R29"/>
    <mergeCell ref="V29:W29"/>
    <mergeCell ref="B30:C30"/>
    <mergeCell ref="G30:H30"/>
    <mergeCell ref="L30:M30"/>
    <mergeCell ref="Q30:R30"/>
    <mergeCell ref="V30:W30"/>
    <mergeCell ref="B31:C31"/>
    <mergeCell ref="G31:H31"/>
    <mergeCell ref="L31:M31"/>
    <mergeCell ref="Q31:R31"/>
    <mergeCell ref="V31:W31"/>
    <mergeCell ref="B33:E33"/>
    <mergeCell ref="G33:J33"/>
    <mergeCell ref="L33:O33"/>
    <mergeCell ref="Q33:T33"/>
    <mergeCell ref="V33:Y33"/>
    <mergeCell ref="B38:C38"/>
    <mergeCell ref="G38:H38"/>
    <mergeCell ref="L38:M38"/>
    <mergeCell ref="Q38:R38"/>
    <mergeCell ref="V38:W38"/>
    <mergeCell ref="B39:C39"/>
    <mergeCell ref="G39:H39"/>
    <mergeCell ref="L39:M39"/>
    <mergeCell ref="Q39:R39"/>
    <mergeCell ref="V39:W39"/>
    <mergeCell ref="AF44:AI44"/>
    <mergeCell ref="AK44:AN44"/>
    <mergeCell ref="A45:A46"/>
    <mergeCell ref="AH45:AI45"/>
    <mergeCell ref="AM45:AN45"/>
    <mergeCell ref="B46:E46"/>
    <mergeCell ref="G46:J46"/>
    <mergeCell ref="L46:O46"/>
    <mergeCell ref="B40:C40"/>
    <mergeCell ref="G40:H40"/>
    <mergeCell ref="L40:M40"/>
    <mergeCell ref="Q40:R40"/>
    <mergeCell ref="V40:W40"/>
    <mergeCell ref="B41:C41"/>
    <mergeCell ref="G41:H41"/>
    <mergeCell ref="L41:M41"/>
    <mergeCell ref="Q41:R41"/>
    <mergeCell ref="V41:W41"/>
    <mergeCell ref="A47:A65"/>
    <mergeCell ref="B53:C53"/>
    <mergeCell ref="G53:H53"/>
    <mergeCell ref="L53:M53"/>
    <mergeCell ref="Q53:R53"/>
    <mergeCell ref="V53:W53"/>
    <mergeCell ref="AA53:AB53"/>
    <mergeCell ref="B42:Y42"/>
    <mergeCell ref="B44:AD45"/>
    <mergeCell ref="B57:E57"/>
    <mergeCell ref="G57:J57"/>
    <mergeCell ref="L57:O57"/>
    <mergeCell ref="Q57:T57"/>
    <mergeCell ref="V57:Y57"/>
    <mergeCell ref="AA57:AD57"/>
    <mergeCell ref="Q46:T46"/>
    <mergeCell ref="V46:Y46"/>
    <mergeCell ref="AA46:AD46"/>
    <mergeCell ref="B65:C65"/>
    <mergeCell ref="Q65:R65"/>
    <mergeCell ref="V65:W65"/>
    <mergeCell ref="AA65:AB65"/>
    <mergeCell ref="AA6:AB6"/>
    <mergeCell ref="AK6:AQ6"/>
    <mergeCell ref="AA7:AB7"/>
    <mergeCell ref="AK7:AN7"/>
    <mergeCell ref="AA8:AB8"/>
    <mergeCell ref="AK8:AN8"/>
    <mergeCell ref="B64:C64"/>
    <mergeCell ref="G64:H64"/>
    <mergeCell ref="L64:M64"/>
    <mergeCell ref="Q64:R64"/>
    <mergeCell ref="V64:W64"/>
    <mergeCell ref="AA64:AB64"/>
    <mergeCell ref="B62:C62"/>
    <mergeCell ref="Q62:R62"/>
    <mergeCell ref="V62:W62"/>
    <mergeCell ref="AA62:AB62"/>
    <mergeCell ref="B63:C63"/>
    <mergeCell ref="Q63:R63"/>
    <mergeCell ref="V63:W63"/>
    <mergeCell ref="AA63:AB63"/>
    <mergeCell ref="AK19:AN19"/>
    <mergeCell ref="AA20:AC20"/>
    <mergeCell ref="AA21:AC21"/>
    <mergeCell ref="C6:E6"/>
    <mergeCell ref="C7:D7"/>
    <mergeCell ref="AA15:AB15"/>
    <mergeCell ref="AK15:AN15"/>
    <mergeCell ref="AK16:AN16"/>
    <mergeCell ref="AK17:AN17"/>
    <mergeCell ref="AA18:AD18"/>
    <mergeCell ref="AK18:AN18"/>
    <mergeCell ref="AA12:AB12"/>
    <mergeCell ref="AK12:AN12"/>
    <mergeCell ref="AA13:AB13"/>
    <mergeCell ref="AK13:AN13"/>
    <mergeCell ref="AA14:AB14"/>
    <mergeCell ref="AK14:AN14"/>
    <mergeCell ref="AA9:AB9"/>
    <mergeCell ref="AK9:AN9"/>
    <mergeCell ref="AA10:AB10"/>
    <mergeCell ref="AK10:AN10"/>
    <mergeCell ref="AA11:AB11"/>
    <mergeCell ref="AK11:AN11"/>
    <mergeCell ref="B18:C18"/>
  </mergeCell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Q71"/>
  <sheetViews>
    <sheetView zoomScaleNormal="100" zoomScaleSheetLayoutView="100" workbookViewId="0">
      <selection activeCell="Q3" sqref="Q3"/>
    </sheetView>
  </sheetViews>
  <sheetFormatPr defaultRowHeight="15" x14ac:dyDescent="0.25"/>
  <cols>
    <col min="1" max="1" width="3.42578125" customWidth="1"/>
    <col min="3" max="3" width="9.140625" customWidth="1"/>
  </cols>
  <sheetData>
    <row r="2" spans="1:43" x14ac:dyDescent="0.25">
      <c r="C2" s="338" t="s">
        <v>363</v>
      </c>
      <c r="D2" s="339"/>
      <c r="E2" s="340"/>
      <c r="G2" s="338" t="s">
        <v>364</v>
      </c>
      <c r="H2" s="339"/>
      <c r="I2" s="340"/>
      <c r="K2" s="338" t="s">
        <v>361</v>
      </c>
      <c r="L2" s="339"/>
      <c r="M2" s="340"/>
    </row>
    <row r="3" spans="1:43" x14ac:dyDescent="0.25">
      <c r="C3" s="341" t="s">
        <v>365</v>
      </c>
      <c r="D3" s="342"/>
      <c r="E3" s="58">
        <v>0.6</v>
      </c>
      <c r="G3" s="341" t="s">
        <v>365</v>
      </c>
      <c r="H3" s="342"/>
      <c r="I3" s="58">
        <v>0.22</v>
      </c>
      <c r="K3" s="341" t="s">
        <v>362</v>
      </c>
      <c r="L3" s="342"/>
      <c r="M3" s="58">
        <v>2.68</v>
      </c>
    </row>
    <row r="6" spans="1:43" ht="18.75" customHeight="1" x14ac:dyDescent="0.25">
      <c r="A6" s="47"/>
      <c r="B6" s="267" t="s">
        <v>216</v>
      </c>
      <c r="C6" s="333"/>
      <c r="D6" s="333"/>
      <c r="E6" s="333"/>
      <c r="F6" s="333"/>
      <c r="G6" s="333"/>
      <c r="H6" s="333"/>
      <c r="I6" s="333"/>
      <c r="J6" s="333"/>
      <c r="K6" s="333"/>
      <c r="L6" s="333"/>
      <c r="M6" s="333"/>
      <c r="N6" s="333"/>
      <c r="O6" s="333"/>
      <c r="P6" s="333"/>
      <c r="Q6" s="333"/>
      <c r="R6" s="333"/>
      <c r="S6" s="333"/>
      <c r="T6" s="333"/>
      <c r="U6" s="333"/>
      <c r="V6" s="333"/>
      <c r="W6" s="333"/>
      <c r="X6" s="333"/>
      <c r="Y6" s="334"/>
      <c r="AA6" s="166" t="s">
        <v>116</v>
      </c>
      <c r="AB6" s="166"/>
      <c r="AC6" s="122" t="s">
        <v>98</v>
      </c>
      <c r="AD6" s="122" t="s">
        <v>99</v>
      </c>
      <c r="AE6" s="122" t="s">
        <v>100</v>
      </c>
      <c r="AF6" s="122" t="s">
        <v>101</v>
      </c>
      <c r="AG6" s="122" t="s">
        <v>244</v>
      </c>
      <c r="AH6" s="122" t="s">
        <v>245</v>
      </c>
      <c r="AI6" s="122" t="s">
        <v>102</v>
      </c>
      <c r="AK6" s="182" t="s">
        <v>262</v>
      </c>
      <c r="AL6" s="182"/>
      <c r="AM6" s="182"/>
      <c r="AN6" s="182"/>
      <c r="AO6" s="182"/>
      <c r="AP6" s="182"/>
      <c r="AQ6" s="182"/>
    </row>
    <row r="7" spans="1:43" ht="15" customHeight="1" x14ac:dyDescent="0.25">
      <c r="A7" s="48"/>
      <c r="B7" s="335"/>
      <c r="C7" s="336"/>
      <c r="D7" s="336"/>
      <c r="E7" s="336"/>
      <c r="F7" s="336"/>
      <c r="G7" s="336"/>
      <c r="H7" s="336"/>
      <c r="I7" s="336"/>
      <c r="J7" s="336"/>
      <c r="K7" s="336"/>
      <c r="L7" s="336"/>
      <c r="M7" s="336"/>
      <c r="N7" s="336"/>
      <c r="O7" s="336"/>
      <c r="P7" s="336"/>
      <c r="Q7" s="336"/>
      <c r="R7" s="336"/>
      <c r="S7" s="336"/>
      <c r="T7" s="336"/>
      <c r="U7" s="336"/>
      <c r="V7" s="336"/>
      <c r="W7" s="336"/>
      <c r="X7" s="336"/>
      <c r="Y7" s="337"/>
      <c r="AA7" s="166" t="s">
        <v>117</v>
      </c>
      <c r="AB7" s="166"/>
      <c r="AC7" s="5">
        <f>'Carichi unitari'!J25</f>
        <v>3.8279500000000004</v>
      </c>
      <c r="AD7" s="5">
        <v>1.6</v>
      </c>
      <c r="AE7" s="5">
        <v>2</v>
      </c>
      <c r="AF7" s="5">
        <f>AC7+AD7+AQ8*AE7</f>
        <v>6.0279500000000006</v>
      </c>
      <c r="AG7" s="5">
        <f>(AC7+AD7)*$AD$19</f>
        <v>7.0563350000000016</v>
      </c>
      <c r="AH7" s="5">
        <f>AE7*AD$20</f>
        <v>3</v>
      </c>
      <c r="AI7" s="5">
        <f>$AG$7+$AH$7</f>
        <v>10.056335000000001</v>
      </c>
      <c r="AK7" s="317"/>
      <c r="AL7" s="317"/>
      <c r="AM7" s="317"/>
      <c r="AN7" s="317"/>
      <c r="AO7" s="61" t="s">
        <v>14</v>
      </c>
      <c r="AP7" s="61" t="s">
        <v>16</v>
      </c>
      <c r="AQ7" s="61" t="s">
        <v>15</v>
      </c>
    </row>
    <row r="8" spans="1:43" ht="18.75" x14ac:dyDescent="0.25">
      <c r="A8" s="49"/>
      <c r="B8" s="284" t="s">
        <v>203</v>
      </c>
      <c r="C8" s="285"/>
      <c r="D8" s="285"/>
      <c r="E8" s="286"/>
      <c r="G8" s="275" t="s">
        <v>122</v>
      </c>
      <c r="H8" s="276"/>
      <c r="I8" s="276"/>
      <c r="J8" s="277"/>
      <c r="L8" s="275" t="s">
        <v>124</v>
      </c>
      <c r="M8" s="276"/>
      <c r="N8" s="276"/>
      <c r="O8" s="277"/>
      <c r="Q8" s="275" t="s">
        <v>127</v>
      </c>
      <c r="R8" s="276"/>
      <c r="S8" s="276"/>
      <c r="T8" s="277"/>
      <c r="V8" s="275" t="s">
        <v>132</v>
      </c>
      <c r="W8" s="276"/>
      <c r="X8" s="276"/>
      <c r="Y8" s="277"/>
      <c r="AA8" s="318" t="s">
        <v>106</v>
      </c>
      <c r="AB8" s="318"/>
      <c r="AC8" s="68">
        <f>'Carichi unitari'!J26</f>
        <v>3.09795</v>
      </c>
      <c r="AD8" s="68"/>
      <c r="AE8" s="68">
        <v>0.5</v>
      </c>
      <c r="AF8" s="68">
        <f>AC8+AQ15*AE8</f>
        <v>3.09795</v>
      </c>
      <c r="AG8" s="5">
        <f>AC8*$AD$19</f>
        <v>4.0273349999999999</v>
      </c>
      <c r="AH8" s="5">
        <f>AE8*AD$20</f>
        <v>0.75</v>
      </c>
      <c r="AI8" s="68">
        <f>$AG$8+$AH$8</f>
        <v>4.7773349999999999</v>
      </c>
      <c r="AK8" s="315" t="s">
        <v>18</v>
      </c>
      <c r="AL8" s="315"/>
      <c r="AM8" s="315"/>
      <c r="AN8" s="315"/>
      <c r="AO8" s="52">
        <v>0.7</v>
      </c>
      <c r="AP8" s="52">
        <v>0.5</v>
      </c>
      <c r="AQ8" s="52">
        <v>0.3</v>
      </c>
    </row>
    <row r="9" spans="1:43" ht="18" x14ac:dyDescent="0.25">
      <c r="A9" s="12"/>
      <c r="B9" s="119"/>
      <c r="C9" s="122" t="s">
        <v>140</v>
      </c>
      <c r="D9" s="122" t="s">
        <v>141</v>
      </c>
      <c r="E9" s="122" t="s">
        <v>202</v>
      </c>
      <c r="G9" s="119"/>
      <c r="H9" s="122" t="s">
        <v>140</v>
      </c>
      <c r="I9" s="122" t="s">
        <v>141</v>
      </c>
      <c r="J9" s="122" t="s">
        <v>202</v>
      </c>
      <c r="L9" s="119"/>
      <c r="M9" s="122" t="s">
        <v>140</v>
      </c>
      <c r="N9" s="122" t="s">
        <v>141</v>
      </c>
      <c r="O9" s="122" t="s">
        <v>202</v>
      </c>
      <c r="Q9" s="119"/>
      <c r="R9" s="122" t="s">
        <v>140</v>
      </c>
      <c r="S9" s="122" t="s">
        <v>141</v>
      </c>
      <c r="T9" s="122" t="s">
        <v>202</v>
      </c>
      <c r="V9" s="119"/>
      <c r="W9" s="122" t="s">
        <v>140</v>
      </c>
      <c r="X9" s="122" t="s">
        <v>141</v>
      </c>
      <c r="Y9" s="122" t="s">
        <v>202</v>
      </c>
      <c r="AA9" s="166" t="s">
        <v>118</v>
      </c>
      <c r="AB9" s="166"/>
      <c r="AC9" s="5">
        <f>'Carichi unitari'!J27</f>
        <v>3.5079500000000001</v>
      </c>
      <c r="AD9" s="5"/>
      <c r="AE9" s="5">
        <v>4</v>
      </c>
      <c r="AF9" s="5">
        <f>AC9+AQ$10*AE9</f>
        <v>5.9079499999999996</v>
      </c>
      <c r="AG9" s="5">
        <f t="shared" ref="AG9:AG15" si="0">AC9*$AD$19</f>
        <v>4.5603350000000002</v>
      </c>
      <c r="AH9" s="5">
        <f>AE9*AD$20</f>
        <v>6</v>
      </c>
      <c r="AI9" s="5">
        <f>$AG$9+$AH$9</f>
        <v>10.560335</v>
      </c>
      <c r="AK9" s="315" t="s">
        <v>17</v>
      </c>
      <c r="AL9" s="315"/>
      <c r="AM9" s="315"/>
      <c r="AN9" s="315"/>
      <c r="AO9" s="52">
        <v>0.7</v>
      </c>
      <c r="AP9" s="52">
        <v>0.5</v>
      </c>
      <c r="AQ9" s="52">
        <v>0.3</v>
      </c>
    </row>
    <row r="10" spans="1:43" x14ac:dyDescent="0.25">
      <c r="A10" s="12"/>
      <c r="B10" s="119" t="s">
        <v>142</v>
      </c>
      <c r="C10" s="5">
        <f>(5.3/2)</f>
        <v>2.65</v>
      </c>
      <c r="D10" s="5">
        <f>$AI$7</f>
        <v>10.056335000000001</v>
      </c>
      <c r="E10" s="5">
        <f>$AF$7</f>
        <v>6.0279500000000006</v>
      </c>
      <c r="G10" s="119" t="s">
        <v>142</v>
      </c>
      <c r="H10" s="5">
        <f>(5.3/2)</f>
        <v>2.65</v>
      </c>
      <c r="I10" s="5">
        <f>$AI$7</f>
        <v>10.056335000000001</v>
      </c>
      <c r="J10" s="5">
        <f>$AF$7</f>
        <v>6.0279500000000006</v>
      </c>
      <c r="L10" s="119" t="s">
        <v>142</v>
      </c>
      <c r="M10" s="5">
        <v>0</v>
      </c>
      <c r="N10" s="5">
        <f>$AI$7</f>
        <v>10.056335000000001</v>
      </c>
      <c r="O10" s="5">
        <f>$AF$7</f>
        <v>6.0279500000000006</v>
      </c>
      <c r="Q10" s="119" t="s">
        <v>142</v>
      </c>
      <c r="R10" s="5">
        <f>(5.3/2)</f>
        <v>2.65</v>
      </c>
      <c r="S10" s="5">
        <f>$AI$7</f>
        <v>10.056335000000001</v>
      </c>
      <c r="T10" s="5">
        <f>$AF$7</f>
        <v>6.0279500000000006</v>
      </c>
      <c r="V10" s="119" t="s">
        <v>142</v>
      </c>
      <c r="W10" s="5">
        <f>(5.3/2)</f>
        <v>2.65</v>
      </c>
      <c r="X10" s="5">
        <f>$AI$7</f>
        <v>10.056335000000001</v>
      </c>
      <c r="Y10" s="5">
        <f>$AF$7</f>
        <v>6.0279500000000006</v>
      </c>
      <c r="AA10" s="166" t="s">
        <v>103</v>
      </c>
      <c r="AB10" s="166"/>
      <c r="AC10" s="5">
        <f>'Carichi unitari'!J28</f>
        <v>8.6467122681440394</v>
      </c>
      <c r="AD10" s="5"/>
      <c r="AE10" s="5">
        <v>4</v>
      </c>
      <c r="AF10" s="5">
        <f>AC10+AQ$10*AE10</f>
        <v>11.04671226814404</v>
      </c>
      <c r="AG10" s="5">
        <f t="shared" si="0"/>
        <v>11.240725948587251</v>
      </c>
      <c r="AH10" s="5">
        <f>AE10*AD$20</f>
        <v>6</v>
      </c>
      <c r="AI10" s="5">
        <f>$AG$10+$AH$10</f>
        <v>17.240725948587251</v>
      </c>
      <c r="AK10" s="315" t="s">
        <v>19</v>
      </c>
      <c r="AL10" s="315"/>
      <c r="AM10" s="315"/>
      <c r="AN10" s="315"/>
      <c r="AO10" s="52">
        <v>0.7</v>
      </c>
      <c r="AP10" s="52">
        <v>0.7</v>
      </c>
      <c r="AQ10" s="52">
        <v>0.6</v>
      </c>
    </row>
    <row r="11" spans="1:43" x14ac:dyDescent="0.25">
      <c r="A11" s="12"/>
      <c r="B11" s="119" t="s">
        <v>143</v>
      </c>
      <c r="C11" s="5">
        <v>0</v>
      </c>
      <c r="D11" s="5">
        <f>$AI$9</f>
        <v>10.560335</v>
      </c>
      <c r="E11" s="5">
        <f>$AF$9</f>
        <v>5.9079499999999996</v>
      </c>
      <c r="G11" s="119" t="s">
        <v>143</v>
      </c>
      <c r="H11" s="5">
        <v>1.5</v>
      </c>
      <c r="I11" s="5">
        <f>$AI$9</f>
        <v>10.560335</v>
      </c>
      <c r="J11" s="5">
        <f>$AF$9</f>
        <v>5.9079499999999996</v>
      </c>
      <c r="L11" s="119" t="s">
        <v>143</v>
      </c>
      <c r="M11" s="5">
        <v>0</v>
      </c>
      <c r="N11" s="5">
        <f>$AI$9</f>
        <v>10.560335</v>
      </c>
      <c r="O11" s="5">
        <f>$AF$9</f>
        <v>5.9079499999999996</v>
      </c>
      <c r="Q11" s="119" t="s">
        <v>143</v>
      </c>
      <c r="R11" s="5">
        <v>1.5</v>
      </c>
      <c r="S11" s="5">
        <f>$AI$9</f>
        <v>10.560335</v>
      </c>
      <c r="T11" s="5">
        <f>$AF$9</f>
        <v>5.9079499999999996</v>
      </c>
      <c r="V11" s="119" t="s">
        <v>143</v>
      </c>
      <c r="W11" s="5">
        <v>0</v>
      </c>
      <c r="X11" s="5">
        <f>$AI$9</f>
        <v>10.560335</v>
      </c>
      <c r="Y11" s="5">
        <f>$AF$9</f>
        <v>5.9079499999999996</v>
      </c>
      <c r="AA11" s="166" t="s">
        <v>104</v>
      </c>
      <c r="AB11" s="166"/>
      <c r="AC11" s="5">
        <f>'Carichi unitari'!J29</f>
        <v>6</v>
      </c>
      <c r="AD11" s="5"/>
      <c r="AE11" s="5"/>
      <c r="AF11" s="5">
        <f>AC11</f>
        <v>6</v>
      </c>
      <c r="AG11" s="5">
        <f t="shared" si="0"/>
        <v>7.8000000000000007</v>
      </c>
      <c r="AH11" s="5"/>
      <c r="AI11" s="5">
        <f>$AG$11</f>
        <v>7.8000000000000007</v>
      </c>
      <c r="AK11" s="315" t="s">
        <v>20</v>
      </c>
      <c r="AL11" s="315"/>
      <c r="AM11" s="315"/>
      <c r="AN11" s="315"/>
      <c r="AO11" s="52">
        <v>0.7</v>
      </c>
      <c r="AP11" s="52">
        <v>0.7</v>
      </c>
      <c r="AQ11" s="52">
        <v>0.6</v>
      </c>
    </row>
    <row r="12" spans="1:43" x14ac:dyDescent="0.25">
      <c r="A12" s="12"/>
      <c r="B12" s="119" t="s">
        <v>145</v>
      </c>
      <c r="C12" s="5">
        <v>0</v>
      </c>
      <c r="D12" s="5">
        <f>$AI$10</f>
        <v>17.240725948587251</v>
      </c>
      <c r="E12" s="5">
        <f>$AF$10</f>
        <v>11.04671226814404</v>
      </c>
      <c r="G12" s="119" t="s">
        <v>145</v>
      </c>
      <c r="H12" s="5">
        <v>0</v>
      </c>
      <c r="I12" s="5">
        <f>$AI$10</f>
        <v>17.240725948587251</v>
      </c>
      <c r="J12" s="5">
        <f>$AF$10</f>
        <v>11.04671226814404</v>
      </c>
      <c r="L12" s="119" t="s">
        <v>145</v>
      </c>
      <c r="M12" s="5">
        <f>(5.5/2)</f>
        <v>2.75</v>
      </c>
      <c r="N12" s="5">
        <f>$AI$10</f>
        <v>17.240725948587251</v>
      </c>
      <c r="O12" s="5">
        <f>$AF$10</f>
        <v>11.04671226814404</v>
      </c>
      <c r="Q12" s="119" t="s">
        <v>145</v>
      </c>
      <c r="R12" s="5">
        <v>0</v>
      </c>
      <c r="S12" s="5">
        <f>$AI$10</f>
        <v>17.240725948587251</v>
      </c>
      <c r="T12" s="5">
        <f>$AF$10</f>
        <v>11.04671226814404</v>
      </c>
      <c r="V12" s="119" t="s">
        <v>145</v>
      </c>
      <c r="W12" s="5">
        <v>0</v>
      </c>
      <c r="X12" s="5">
        <f>$AI$10</f>
        <v>17.240725948587251</v>
      </c>
      <c r="Y12" s="5">
        <f>$AF$10</f>
        <v>11.04671226814404</v>
      </c>
      <c r="AA12" s="166" t="s">
        <v>246</v>
      </c>
      <c r="AB12" s="166"/>
      <c r="AC12" s="5">
        <f>'Carichi unitari'!J30</f>
        <v>3.66</v>
      </c>
      <c r="AD12" s="5"/>
      <c r="AE12" s="5"/>
      <c r="AF12" s="5">
        <f>AC12</f>
        <v>3.66</v>
      </c>
      <c r="AG12" s="5">
        <f t="shared" si="0"/>
        <v>4.758</v>
      </c>
      <c r="AH12" s="5"/>
      <c r="AI12" s="5">
        <f>AG12</f>
        <v>4.758</v>
      </c>
      <c r="AK12" s="315" t="s">
        <v>21</v>
      </c>
      <c r="AL12" s="315"/>
      <c r="AM12" s="315"/>
      <c r="AN12" s="315"/>
      <c r="AO12" s="52">
        <v>1</v>
      </c>
      <c r="AP12" s="52">
        <v>0.9</v>
      </c>
      <c r="AQ12" s="52">
        <v>0.8</v>
      </c>
    </row>
    <row r="13" spans="1:43" x14ac:dyDescent="0.25">
      <c r="A13" s="12"/>
      <c r="B13" s="167" t="s">
        <v>146</v>
      </c>
      <c r="C13" s="168"/>
      <c r="D13" s="5">
        <f>$AG$11</f>
        <v>7.8000000000000007</v>
      </c>
      <c r="E13" s="5">
        <f>$AH$10</f>
        <v>6</v>
      </c>
      <c r="G13" s="167" t="s">
        <v>146</v>
      </c>
      <c r="H13" s="168"/>
      <c r="I13" s="5">
        <f>$AG$11</f>
        <v>7.8000000000000007</v>
      </c>
      <c r="J13" s="5">
        <f>$AH$10</f>
        <v>6</v>
      </c>
      <c r="L13" s="167" t="s">
        <v>146</v>
      </c>
      <c r="M13" s="168"/>
      <c r="N13" s="5">
        <f>$AG$11</f>
        <v>7.8000000000000007</v>
      </c>
      <c r="O13" s="5">
        <f>$AH$10</f>
        <v>6</v>
      </c>
      <c r="Q13" s="167" t="s">
        <v>146</v>
      </c>
      <c r="R13" s="168"/>
      <c r="S13" s="5">
        <f>$AG$11</f>
        <v>7.8000000000000007</v>
      </c>
      <c r="T13" s="5">
        <f>$AH$10</f>
        <v>6</v>
      </c>
      <c r="V13" s="167" t="s">
        <v>146</v>
      </c>
      <c r="W13" s="168"/>
      <c r="X13" s="5">
        <f>$AG$11</f>
        <v>7.8000000000000007</v>
      </c>
      <c r="Y13" s="5">
        <f>$AH$10</f>
        <v>6</v>
      </c>
      <c r="AA13" s="166" t="s">
        <v>256</v>
      </c>
      <c r="AB13" s="166"/>
      <c r="AC13" s="5">
        <f>'Carichi unitari'!J31</f>
        <v>0.81000000000000016</v>
      </c>
      <c r="AD13" s="5"/>
      <c r="AE13" s="5"/>
      <c r="AF13" s="5">
        <f>AC13</f>
        <v>0.81000000000000016</v>
      </c>
      <c r="AG13" s="5">
        <f t="shared" si="0"/>
        <v>1.0530000000000002</v>
      </c>
      <c r="AH13" s="5"/>
      <c r="AI13" s="5">
        <f>AG13</f>
        <v>1.0530000000000002</v>
      </c>
      <c r="AK13" s="315" t="s">
        <v>284</v>
      </c>
      <c r="AL13" s="315"/>
      <c r="AM13" s="315"/>
      <c r="AN13" s="315"/>
      <c r="AO13" s="53">
        <v>0.7</v>
      </c>
      <c r="AP13" s="53">
        <v>0.7</v>
      </c>
      <c r="AQ13" s="53">
        <v>0.6</v>
      </c>
    </row>
    <row r="14" spans="1:43" x14ac:dyDescent="0.25">
      <c r="A14" s="12"/>
      <c r="B14" s="273"/>
      <c r="C14" s="274"/>
      <c r="D14" s="5">
        <f>C10*D10+C11*D11+C12*D12+D13</f>
        <v>34.449287749999996</v>
      </c>
      <c r="E14" s="5">
        <f>C10*E10+C11*E11+C12*E12+E13</f>
        <v>21.9740675</v>
      </c>
      <c r="G14" s="273"/>
      <c r="H14" s="274"/>
      <c r="I14" s="5">
        <f>H10*I10+H11*I11+H12*I12+I13</f>
        <v>50.289790249999996</v>
      </c>
      <c r="J14" s="5">
        <f>H10*J10+H11*J11+H12*J12+J13</f>
        <v>30.8359925</v>
      </c>
      <c r="L14" s="273"/>
      <c r="M14" s="274"/>
      <c r="N14" s="5">
        <f>M10*N10+M11*N11+M12*N12+N13</f>
        <v>55.21199635861494</v>
      </c>
      <c r="O14" s="5">
        <f>M10*O10+M11*O11+M12*O12+O13</f>
        <v>36.378458737396109</v>
      </c>
      <c r="Q14" s="273"/>
      <c r="R14" s="274"/>
      <c r="S14" s="5">
        <f>R10*S10+R11*S11+R12*S12+S13</f>
        <v>50.289790249999996</v>
      </c>
      <c r="T14" s="5">
        <f>R10*T10+R11*T11+R12*T12+T13</f>
        <v>30.8359925</v>
      </c>
      <c r="V14" s="273"/>
      <c r="W14" s="274"/>
      <c r="X14" s="5">
        <f>W10*X10+W11*X11+W12*X12+X13</f>
        <v>34.449287749999996</v>
      </c>
      <c r="Y14" s="5">
        <f>W10*Y10+W11*Y11+W12*Y12+Y13</f>
        <v>21.9740675</v>
      </c>
      <c r="AA14" s="166" t="s">
        <v>257</v>
      </c>
      <c r="AB14" s="166"/>
      <c r="AC14" s="5">
        <f>'Carichi unitari'!J32</f>
        <v>14.069999999999999</v>
      </c>
      <c r="AD14" s="5"/>
      <c r="AE14" s="5"/>
      <c r="AF14" s="5">
        <f>AC14</f>
        <v>14.069999999999999</v>
      </c>
      <c r="AG14" s="5">
        <f t="shared" si="0"/>
        <v>18.291</v>
      </c>
      <c r="AH14" s="5"/>
      <c r="AI14" s="5">
        <f>$AG$14</f>
        <v>18.291</v>
      </c>
      <c r="AK14" s="315" t="s">
        <v>22</v>
      </c>
      <c r="AL14" s="315"/>
      <c r="AM14" s="315"/>
      <c r="AN14" s="315"/>
      <c r="AO14" s="53">
        <v>0.7</v>
      </c>
      <c r="AP14" s="53">
        <v>0.5</v>
      </c>
      <c r="AQ14" s="53">
        <v>0.3</v>
      </c>
    </row>
    <row r="15" spans="1:43" x14ac:dyDescent="0.25">
      <c r="A15" s="12"/>
      <c r="B15" s="179" t="s">
        <v>201</v>
      </c>
      <c r="C15" s="181"/>
      <c r="D15" s="5">
        <f>E15*1.3</f>
        <v>4.758</v>
      </c>
      <c r="E15" s="5">
        <f>(0.3*E3*1*25)-0.3*2.8</f>
        <v>3.66</v>
      </c>
      <c r="G15" s="179" t="s">
        <v>201</v>
      </c>
      <c r="H15" s="181"/>
      <c r="I15" s="5">
        <f>J15*1.3</f>
        <v>4.758</v>
      </c>
      <c r="J15" s="5">
        <f>(0.3*E3*1*25)-0.3*2.8</f>
        <v>3.66</v>
      </c>
      <c r="L15" s="179" t="s">
        <v>201</v>
      </c>
      <c r="M15" s="181"/>
      <c r="N15" s="5">
        <f>O15*1.3</f>
        <v>4.758</v>
      </c>
      <c r="O15" s="5">
        <f>(0.3*E3*1*25)-0.3*2.8</f>
        <v>3.66</v>
      </c>
      <c r="Q15" s="179" t="s">
        <v>201</v>
      </c>
      <c r="R15" s="181"/>
      <c r="S15" s="144">
        <f>T15*1.3</f>
        <v>4.758</v>
      </c>
      <c r="T15" s="5">
        <f>(0.3*E3*1*25)-0.3*2.8</f>
        <v>3.66</v>
      </c>
      <c r="V15" s="179" t="s">
        <v>201</v>
      </c>
      <c r="W15" s="181"/>
      <c r="X15" s="144">
        <f>Y15*1.3</f>
        <v>4.758</v>
      </c>
      <c r="Y15" s="5">
        <f>(0.3*E3*1*25)-0.3*2.8</f>
        <v>3.66</v>
      </c>
      <c r="AA15" s="166" t="s">
        <v>119</v>
      </c>
      <c r="AB15" s="166"/>
      <c r="AC15" s="5">
        <f>'Carichi unitari'!J33</f>
        <v>3.66</v>
      </c>
      <c r="AD15" s="5"/>
      <c r="AE15" s="5"/>
      <c r="AF15" s="5">
        <f>AF12</f>
        <v>3.66</v>
      </c>
      <c r="AG15" s="5">
        <f t="shared" si="0"/>
        <v>4.758</v>
      </c>
      <c r="AH15" s="5"/>
      <c r="AI15" s="5">
        <f>AI12</f>
        <v>4.758</v>
      </c>
      <c r="AK15" s="315" t="s">
        <v>23</v>
      </c>
      <c r="AL15" s="315"/>
      <c r="AM15" s="315"/>
      <c r="AN15" s="315"/>
      <c r="AO15" s="52">
        <v>0</v>
      </c>
      <c r="AP15" s="52">
        <v>0</v>
      </c>
      <c r="AQ15" s="52">
        <v>0</v>
      </c>
    </row>
    <row r="16" spans="1:43" ht="15" customHeight="1" x14ac:dyDescent="0.25">
      <c r="A16" s="12"/>
      <c r="B16" s="179" t="s">
        <v>109</v>
      </c>
      <c r="C16" s="181"/>
      <c r="D16" s="5">
        <f>SUM(D14:D15)</f>
        <v>39.207287749999999</v>
      </c>
      <c r="E16" s="5">
        <f>SUM(E14:E15)</f>
        <v>25.6340675</v>
      </c>
      <c r="G16" s="179" t="s">
        <v>109</v>
      </c>
      <c r="H16" s="181"/>
      <c r="I16" s="5">
        <f>SUM(I14:I15)</f>
        <v>55.047790249999998</v>
      </c>
      <c r="J16" s="5">
        <f>SUM(J14:J15)</f>
        <v>34.4959925</v>
      </c>
      <c r="L16" s="179" t="s">
        <v>109</v>
      </c>
      <c r="M16" s="181"/>
      <c r="N16" s="5">
        <f>SUM(N14:N15)</f>
        <v>59.969996358614942</v>
      </c>
      <c r="O16" s="5">
        <f>SUM(O14:O15)</f>
        <v>40.038458737396112</v>
      </c>
      <c r="Q16" s="179" t="s">
        <v>109</v>
      </c>
      <c r="R16" s="181"/>
      <c r="S16" s="5">
        <f>SUM(S14:S15)</f>
        <v>55.047790249999998</v>
      </c>
      <c r="T16" s="5">
        <f>SUM(T14:T15)</f>
        <v>34.4959925</v>
      </c>
      <c r="V16" s="179" t="s">
        <v>109</v>
      </c>
      <c r="W16" s="181"/>
      <c r="X16" s="5">
        <f>SUM(X14:X15)</f>
        <v>39.207287749999999</v>
      </c>
      <c r="Y16" s="5">
        <f>SUM(Y14:Y15)</f>
        <v>25.6340675</v>
      </c>
      <c r="AK16" s="315" t="s">
        <v>24</v>
      </c>
      <c r="AL16" s="315"/>
      <c r="AM16" s="315"/>
      <c r="AN16" s="315"/>
      <c r="AO16" s="53">
        <v>0.6</v>
      </c>
      <c r="AP16" s="53">
        <v>0.2</v>
      </c>
      <c r="AQ16" s="52">
        <v>0</v>
      </c>
    </row>
    <row r="17" spans="1:43" ht="15" customHeight="1" x14ac:dyDescent="0.25">
      <c r="A17" s="12"/>
      <c r="AK17" s="315" t="s">
        <v>288</v>
      </c>
      <c r="AL17" s="315"/>
      <c r="AM17" s="315"/>
      <c r="AN17" s="315"/>
      <c r="AO17" s="53">
        <v>0.5</v>
      </c>
      <c r="AP17" s="53">
        <v>0.2</v>
      </c>
      <c r="AQ17" s="52">
        <v>0</v>
      </c>
    </row>
    <row r="18" spans="1:43" ht="15" customHeight="1" x14ac:dyDescent="0.25">
      <c r="A18" s="12"/>
      <c r="AA18" s="179" t="s">
        <v>26</v>
      </c>
      <c r="AB18" s="180"/>
      <c r="AC18" s="180"/>
      <c r="AD18" s="181"/>
      <c r="AK18" s="315" t="s">
        <v>290</v>
      </c>
      <c r="AL18" s="315"/>
      <c r="AM18" s="315"/>
      <c r="AN18" s="315"/>
      <c r="AO18" s="53">
        <v>0.7</v>
      </c>
      <c r="AP18" s="53">
        <v>0.5</v>
      </c>
      <c r="AQ18" s="52">
        <v>0</v>
      </c>
    </row>
    <row r="19" spans="1:43" ht="18.75" x14ac:dyDescent="0.25">
      <c r="A19" s="12"/>
      <c r="B19" s="284" t="s">
        <v>126</v>
      </c>
      <c r="C19" s="285"/>
      <c r="D19" s="285"/>
      <c r="E19" s="286"/>
      <c r="G19" s="284" t="s">
        <v>130</v>
      </c>
      <c r="H19" s="285"/>
      <c r="I19" s="285"/>
      <c r="J19" s="286"/>
      <c r="L19" s="284" t="s">
        <v>133</v>
      </c>
      <c r="M19" s="285"/>
      <c r="N19" s="285"/>
      <c r="O19" s="286"/>
      <c r="Q19" s="284" t="s">
        <v>204</v>
      </c>
      <c r="R19" s="285"/>
      <c r="S19" s="285"/>
      <c r="T19" s="286"/>
      <c r="V19" s="284" t="s">
        <v>131</v>
      </c>
      <c r="W19" s="285"/>
      <c r="X19" s="285"/>
      <c r="Y19" s="286"/>
      <c r="AA19" s="166" t="s">
        <v>27</v>
      </c>
      <c r="AB19" s="166"/>
      <c r="AC19" s="166"/>
      <c r="AD19" s="58">
        <v>1.3</v>
      </c>
      <c r="AK19" s="315" t="s">
        <v>25</v>
      </c>
      <c r="AL19" s="315"/>
      <c r="AM19" s="315"/>
      <c r="AN19" s="315"/>
      <c r="AO19" s="53">
        <v>0.6</v>
      </c>
      <c r="AP19" s="53">
        <v>0.5</v>
      </c>
      <c r="AQ19" s="52">
        <v>0</v>
      </c>
    </row>
    <row r="20" spans="1:43" ht="18" x14ac:dyDescent="0.25">
      <c r="A20" s="12"/>
      <c r="B20" s="119"/>
      <c r="C20" s="122" t="s">
        <v>140</v>
      </c>
      <c r="D20" s="122" t="s">
        <v>141</v>
      </c>
      <c r="E20" s="122" t="s">
        <v>202</v>
      </c>
      <c r="G20" s="119"/>
      <c r="H20" s="122" t="s">
        <v>140</v>
      </c>
      <c r="I20" s="122" t="s">
        <v>141</v>
      </c>
      <c r="J20" s="122" t="s">
        <v>202</v>
      </c>
      <c r="L20" s="119"/>
      <c r="M20" s="122" t="s">
        <v>140</v>
      </c>
      <c r="N20" s="122" t="s">
        <v>141</v>
      </c>
      <c r="O20" s="122" t="s">
        <v>202</v>
      </c>
      <c r="Q20" s="119"/>
      <c r="R20" s="122" t="s">
        <v>140</v>
      </c>
      <c r="S20" s="122" t="s">
        <v>141</v>
      </c>
      <c r="T20" s="122" t="s">
        <v>202</v>
      </c>
      <c r="V20" s="119"/>
      <c r="W20" s="122" t="s">
        <v>140</v>
      </c>
      <c r="X20" s="122" t="s">
        <v>141</v>
      </c>
      <c r="Y20" s="122" t="s">
        <v>202</v>
      </c>
      <c r="AA20" s="166" t="s">
        <v>28</v>
      </c>
      <c r="AB20" s="166"/>
      <c r="AC20" s="166"/>
      <c r="AD20" s="58">
        <v>1.5</v>
      </c>
    </row>
    <row r="21" spans="1:43" ht="15" customHeight="1" x14ac:dyDescent="0.25">
      <c r="A21" s="12"/>
      <c r="B21" s="119" t="s">
        <v>142</v>
      </c>
      <c r="C21" s="5">
        <f>(5.3/2)+(5.2/2)</f>
        <v>5.25</v>
      </c>
      <c r="D21" s="5">
        <f>$AI$7</f>
        <v>10.056335000000001</v>
      </c>
      <c r="E21" s="5">
        <f>$AF$7</f>
        <v>6.0279500000000006</v>
      </c>
      <c r="G21" s="119" t="s">
        <v>142</v>
      </c>
      <c r="H21" s="5">
        <f>(5.3/2)+(5.2/2)</f>
        <v>5.25</v>
      </c>
      <c r="I21" s="5">
        <f>$AI$7</f>
        <v>10.056335000000001</v>
      </c>
      <c r="J21" s="5">
        <f>$AF$7</f>
        <v>6.0279500000000006</v>
      </c>
      <c r="L21" s="119" t="s">
        <v>142</v>
      </c>
      <c r="M21" s="5">
        <f>(5.2/2)</f>
        <v>2.6</v>
      </c>
      <c r="N21" s="5">
        <f>$AI$7</f>
        <v>10.056335000000001</v>
      </c>
      <c r="O21" s="5">
        <f>$AF$7</f>
        <v>6.0279500000000006</v>
      </c>
      <c r="Q21" s="119" t="s">
        <v>142</v>
      </c>
      <c r="R21" s="5">
        <f>(5.3/2)+(5.2/2)</f>
        <v>5.25</v>
      </c>
      <c r="S21" s="5">
        <f>$AI$7</f>
        <v>10.056335000000001</v>
      </c>
      <c r="T21" s="5">
        <f>$AF$7</f>
        <v>6.0279500000000006</v>
      </c>
      <c r="V21" s="119" t="s">
        <v>142</v>
      </c>
      <c r="W21" s="5">
        <f>(5.3/2)+(5.2/2)</f>
        <v>5.25</v>
      </c>
      <c r="X21" s="5">
        <f>$AI$7</f>
        <v>10.056335000000001</v>
      </c>
      <c r="Y21" s="5">
        <f>$AF$7</f>
        <v>6.0279500000000006</v>
      </c>
      <c r="AA21" s="166" t="s">
        <v>29</v>
      </c>
      <c r="AB21" s="166"/>
      <c r="AC21" s="166"/>
      <c r="AD21" s="58">
        <v>1</v>
      </c>
    </row>
    <row r="22" spans="1:43" ht="15" customHeight="1" x14ac:dyDescent="0.25">
      <c r="A22" s="12"/>
      <c r="B22" s="119" t="s">
        <v>143</v>
      </c>
      <c r="C22" s="5">
        <v>0</v>
      </c>
      <c r="D22" s="5">
        <f>$AI$9</f>
        <v>10.560335</v>
      </c>
      <c r="E22" s="5">
        <f>$AF$9</f>
        <v>5.9079499999999996</v>
      </c>
      <c r="G22" s="119" t="s">
        <v>143</v>
      </c>
      <c r="H22" s="5">
        <v>0</v>
      </c>
      <c r="I22" s="5">
        <f>$AI$9</f>
        <v>10.560335</v>
      </c>
      <c r="J22" s="5">
        <f>$AF$9</f>
        <v>5.9079499999999996</v>
      </c>
      <c r="L22" s="119" t="s">
        <v>143</v>
      </c>
      <c r="M22" s="5">
        <v>0</v>
      </c>
      <c r="N22" s="5">
        <f>$AI$9</f>
        <v>10.560335</v>
      </c>
      <c r="O22" s="5">
        <f>$AF$9</f>
        <v>5.9079499999999996</v>
      </c>
      <c r="Q22" s="119" t="s">
        <v>143</v>
      </c>
      <c r="R22" s="5">
        <v>0</v>
      </c>
      <c r="S22" s="5">
        <f>$AI$9</f>
        <v>10.560335</v>
      </c>
      <c r="T22" s="5">
        <f>$AF$9</f>
        <v>5.9079499999999996</v>
      </c>
      <c r="V22" s="119" t="s">
        <v>143</v>
      </c>
      <c r="W22" s="5">
        <v>0</v>
      </c>
      <c r="X22" s="5">
        <f>$AI$9</f>
        <v>10.560335</v>
      </c>
      <c r="Y22" s="5">
        <f>$AF$9</f>
        <v>5.9079499999999996</v>
      </c>
    </row>
    <row r="23" spans="1:43" x14ac:dyDescent="0.25">
      <c r="A23" s="12"/>
      <c r="B23" s="119" t="s">
        <v>145</v>
      </c>
      <c r="C23" s="5">
        <v>0</v>
      </c>
      <c r="D23" s="5">
        <f>$AI$10</f>
        <v>17.240725948587251</v>
      </c>
      <c r="E23" s="5">
        <f>$AF$10</f>
        <v>11.04671226814404</v>
      </c>
      <c r="G23" s="119" t="s">
        <v>145</v>
      </c>
      <c r="H23" s="5">
        <v>0</v>
      </c>
      <c r="I23" s="5">
        <f>$AI$10</f>
        <v>17.240725948587251</v>
      </c>
      <c r="J23" s="5">
        <f>$AF$10</f>
        <v>11.04671226814404</v>
      </c>
      <c r="L23" s="119" t="s">
        <v>145</v>
      </c>
      <c r="M23" s="5">
        <f>(5.5/2)</f>
        <v>2.75</v>
      </c>
      <c r="N23" s="5">
        <f>$AI$10</f>
        <v>17.240725948587251</v>
      </c>
      <c r="O23" s="5">
        <f>$AF$10</f>
        <v>11.04671226814404</v>
      </c>
      <c r="Q23" s="119" t="s">
        <v>145</v>
      </c>
      <c r="R23" s="5">
        <v>0</v>
      </c>
      <c r="S23" s="5">
        <f>$AI$10</f>
        <v>17.240725948587251</v>
      </c>
      <c r="T23" s="5">
        <f>$AF$10</f>
        <v>11.04671226814404</v>
      </c>
      <c r="V23" s="119" t="s">
        <v>145</v>
      </c>
      <c r="W23" s="5">
        <v>0</v>
      </c>
      <c r="X23" s="5">
        <f>$AI$10</f>
        <v>17.240725948587251</v>
      </c>
      <c r="Y23" s="5">
        <f>$AF$10</f>
        <v>11.04671226814404</v>
      </c>
    </row>
    <row r="24" spans="1:43" x14ac:dyDescent="0.25">
      <c r="A24" s="12"/>
      <c r="B24" s="167" t="s">
        <v>146</v>
      </c>
      <c r="C24" s="168"/>
      <c r="D24" s="5">
        <v>0</v>
      </c>
      <c r="E24" s="5">
        <v>0</v>
      </c>
      <c r="G24" s="167" t="s">
        <v>146</v>
      </c>
      <c r="H24" s="168"/>
      <c r="I24" s="5">
        <v>0</v>
      </c>
      <c r="J24" s="5">
        <v>0</v>
      </c>
      <c r="L24" s="167" t="s">
        <v>146</v>
      </c>
      <c r="M24" s="168"/>
      <c r="N24" s="5">
        <f>$AG$11</f>
        <v>7.8000000000000007</v>
      </c>
      <c r="O24" s="5">
        <f>$AH$10</f>
        <v>6</v>
      </c>
      <c r="Q24" s="167" t="s">
        <v>146</v>
      </c>
      <c r="R24" s="168"/>
      <c r="S24" s="5">
        <v>0</v>
      </c>
      <c r="T24" s="5">
        <v>0</v>
      </c>
      <c r="V24" s="167" t="s">
        <v>146</v>
      </c>
      <c r="W24" s="168"/>
      <c r="X24" s="5">
        <v>0</v>
      </c>
      <c r="Y24" s="5">
        <v>0</v>
      </c>
    </row>
    <row r="25" spans="1:43" x14ac:dyDescent="0.25">
      <c r="A25" s="12"/>
      <c r="B25" s="273"/>
      <c r="C25" s="274"/>
      <c r="D25" s="5">
        <f>C21*D21+C22*D22+C23*D23+D24</f>
        <v>52.795758750000005</v>
      </c>
      <c r="E25" s="5">
        <f>C21*E21+C22*E22+C23*E23+E24</f>
        <v>31.646737500000004</v>
      </c>
      <c r="G25" s="273"/>
      <c r="H25" s="274"/>
      <c r="I25" s="5">
        <f>H21*I21+H22*I22+H23*I23+I24</f>
        <v>52.795758750000005</v>
      </c>
      <c r="J25" s="5">
        <f>H21*J21+H22*J22+H23*J23+J24</f>
        <v>31.646737500000004</v>
      </c>
      <c r="L25" s="273"/>
      <c r="M25" s="274"/>
      <c r="N25" s="5">
        <f>M21*N21+M22*N22+M23*N23+N24</f>
        <v>81.358467358614945</v>
      </c>
      <c r="O25" s="5">
        <f>M21*O21+M22*O22+M23*O23+O24</f>
        <v>52.051128737396112</v>
      </c>
      <c r="Q25" s="273"/>
      <c r="R25" s="274"/>
      <c r="S25" s="5">
        <f>R21*S21+R22*S22+R23*S23+S24</f>
        <v>52.795758750000005</v>
      </c>
      <c r="T25" s="5">
        <f>R21*T21+R22*T22+R23*T23+T24</f>
        <v>31.646737500000004</v>
      </c>
      <c r="V25" s="273"/>
      <c r="W25" s="274"/>
      <c r="X25" s="5">
        <f>W21*X21+W22*X22+W23*X23+X24</f>
        <v>52.795758750000005</v>
      </c>
      <c r="Y25" s="5">
        <f>W21*Y21+W22*Y22+W23*Y23+Y24</f>
        <v>31.646737500000004</v>
      </c>
    </row>
    <row r="26" spans="1:43" x14ac:dyDescent="0.25">
      <c r="A26" s="12"/>
      <c r="B26" s="179" t="s">
        <v>201</v>
      </c>
      <c r="C26" s="181"/>
      <c r="D26" s="5">
        <f>E26*1.3</f>
        <v>4.758</v>
      </c>
      <c r="E26" s="5">
        <f>(0.3*E3*1*25)-0.3*2.8</f>
        <v>3.66</v>
      </c>
      <c r="G26" s="179" t="s">
        <v>201</v>
      </c>
      <c r="H26" s="181"/>
      <c r="I26" s="144">
        <f>J26*1.3</f>
        <v>4.758</v>
      </c>
      <c r="J26" s="5">
        <f>(0.3*E3*1*25)-0.3*2.8</f>
        <v>3.66</v>
      </c>
      <c r="L26" s="179" t="s">
        <v>201</v>
      </c>
      <c r="M26" s="181"/>
      <c r="N26" s="144">
        <f>O26*1.3</f>
        <v>4.758</v>
      </c>
      <c r="O26" s="5">
        <f>(0.3*E3*1*25)-0.3*2.8</f>
        <v>3.66</v>
      </c>
      <c r="Q26" s="179" t="s">
        <v>201</v>
      </c>
      <c r="R26" s="181"/>
      <c r="S26" s="144">
        <f>T26*1.3</f>
        <v>4.758</v>
      </c>
      <c r="T26" s="5">
        <f>(0.3*E3*1*25)-0.3*2.8</f>
        <v>3.66</v>
      </c>
      <c r="V26" s="179" t="s">
        <v>201</v>
      </c>
      <c r="W26" s="181"/>
      <c r="X26" s="144">
        <f>Y26*1.3</f>
        <v>4.758</v>
      </c>
      <c r="Y26" s="5">
        <f>(0.3*E3*1*25)-0.3*2.8</f>
        <v>3.66</v>
      </c>
    </row>
    <row r="27" spans="1:43" x14ac:dyDescent="0.25">
      <c r="A27" s="12"/>
      <c r="B27" s="179" t="s">
        <v>109</v>
      </c>
      <c r="C27" s="181"/>
      <c r="D27" s="5">
        <f>SUM(D25:D26)</f>
        <v>57.553758750000007</v>
      </c>
      <c r="E27" s="5">
        <f>SUM(E25:E26)</f>
        <v>35.306737500000004</v>
      </c>
      <c r="G27" s="179" t="s">
        <v>109</v>
      </c>
      <c r="H27" s="181"/>
      <c r="I27" s="5">
        <f>SUM(I25:I26)</f>
        <v>57.553758750000007</v>
      </c>
      <c r="J27" s="5">
        <f>SUM(J25:J26)</f>
        <v>35.306737500000004</v>
      </c>
      <c r="L27" s="179" t="s">
        <v>109</v>
      </c>
      <c r="M27" s="181"/>
      <c r="N27" s="5">
        <f>SUM(N25:N26)</f>
        <v>86.116467358614941</v>
      </c>
      <c r="O27" s="5">
        <f>SUM(O25:O26)</f>
        <v>55.711128737396109</v>
      </c>
      <c r="Q27" s="179" t="s">
        <v>109</v>
      </c>
      <c r="R27" s="181"/>
      <c r="S27" s="5">
        <f>SUM(S25:S26)</f>
        <v>57.553758750000007</v>
      </c>
      <c r="T27" s="5">
        <f>SUM(T25:T26)</f>
        <v>35.306737500000004</v>
      </c>
      <c r="V27" s="179" t="s">
        <v>109</v>
      </c>
      <c r="W27" s="181"/>
      <c r="X27" s="5">
        <f>SUM(X25:X26)</f>
        <v>57.553758750000007</v>
      </c>
      <c r="Y27" s="5">
        <f>SUM(Y25:Y26)</f>
        <v>35.306737500000004</v>
      </c>
    </row>
    <row r="28" spans="1:43" x14ac:dyDescent="0.25">
      <c r="A28" s="12"/>
    </row>
    <row r="29" spans="1:43" ht="18.75" x14ac:dyDescent="0.25">
      <c r="A29" s="12"/>
      <c r="B29" s="284" t="s">
        <v>120</v>
      </c>
      <c r="C29" s="285"/>
      <c r="D29" s="285"/>
      <c r="E29" s="286"/>
      <c r="G29" s="284" t="s">
        <v>123</v>
      </c>
      <c r="H29" s="285"/>
      <c r="I29" s="285"/>
      <c r="J29" s="286"/>
      <c r="L29" s="284" t="s">
        <v>125</v>
      </c>
      <c r="M29" s="285"/>
      <c r="N29" s="285"/>
      <c r="O29" s="286"/>
      <c r="Q29" s="284" t="s">
        <v>205</v>
      </c>
      <c r="R29" s="285"/>
      <c r="S29" s="285"/>
      <c r="T29" s="286"/>
      <c r="V29" s="284" t="s">
        <v>121</v>
      </c>
      <c r="W29" s="285"/>
      <c r="X29" s="285"/>
      <c r="Y29" s="286"/>
      <c r="AB29" s="219" t="s">
        <v>366</v>
      </c>
      <c r="AC29" s="220"/>
      <c r="AD29" s="220"/>
      <c r="AE29" s="220"/>
      <c r="AF29" s="220"/>
      <c r="AG29" s="220"/>
      <c r="AH29" s="221"/>
      <c r="AJ29" s="219" t="s">
        <v>384</v>
      </c>
      <c r="AK29" s="220"/>
      <c r="AL29" s="220"/>
      <c r="AM29" s="220"/>
      <c r="AN29" s="220"/>
      <c r="AO29" s="220"/>
      <c r="AP29" s="221"/>
    </row>
    <row r="30" spans="1:43" ht="18" x14ac:dyDescent="0.25">
      <c r="A30" s="12"/>
      <c r="B30" s="119"/>
      <c r="C30" s="122" t="s">
        <v>140</v>
      </c>
      <c r="D30" s="122" t="s">
        <v>141</v>
      </c>
      <c r="E30" s="122" t="s">
        <v>202</v>
      </c>
      <c r="G30" s="119"/>
      <c r="H30" s="122" t="s">
        <v>140</v>
      </c>
      <c r="I30" s="122" t="s">
        <v>141</v>
      </c>
      <c r="J30" s="122" t="s">
        <v>202</v>
      </c>
      <c r="L30" s="119"/>
      <c r="M30" s="122" t="s">
        <v>140</v>
      </c>
      <c r="N30" s="122" t="s">
        <v>141</v>
      </c>
      <c r="O30" s="122" t="s">
        <v>202</v>
      </c>
      <c r="Q30" s="119"/>
      <c r="R30" s="122" t="s">
        <v>140</v>
      </c>
      <c r="S30" s="122" t="s">
        <v>141</v>
      </c>
      <c r="T30" s="122" t="s">
        <v>202</v>
      </c>
      <c r="V30" s="119"/>
      <c r="W30" s="122" t="s">
        <v>140</v>
      </c>
      <c r="X30" s="122" t="s">
        <v>141</v>
      </c>
      <c r="Y30" s="122" t="s">
        <v>202</v>
      </c>
      <c r="AB30" s="140" t="s">
        <v>367</v>
      </c>
      <c r="AC30" s="58"/>
      <c r="AD30" s="343" t="s">
        <v>368</v>
      </c>
      <c r="AE30" s="343"/>
      <c r="AF30" s="343"/>
      <c r="AG30" s="343"/>
      <c r="AH30" s="343"/>
      <c r="AJ30" s="140" t="s">
        <v>367</v>
      </c>
      <c r="AK30" s="122"/>
      <c r="AL30" s="328" t="s">
        <v>368</v>
      </c>
      <c r="AM30" s="332"/>
      <c r="AN30" s="332"/>
      <c r="AO30" s="332"/>
      <c r="AP30" s="329"/>
    </row>
    <row r="31" spans="1:43" x14ac:dyDescent="0.25">
      <c r="A31" s="12"/>
      <c r="B31" s="119" t="s">
        <v>142</v>
      </c>
      <c r="C31" s="5">
        <f>(5.2/2)</f>
        <v>2.6</v>
      </c>
      <c r="D31" s="5">
        <f>$AI$7</f>
        <v>10.056335000000001</v>
      </c>
      <c r="E31" s="5">
        <f>$AF$7</f>
        <v>6.0279500000000006</v>
      </c>
      <c r="G31" s="119" t="s">
        <v>142</v>
      </c>
      <c r="H31" s="5">
        <f>(5.2/2)</f>
        <v>2.6</v>
      </c>
      <c r="I31" s="5">
        <f>$AI$7</f>
        <v>10.056335000000001</v>
      </c>
      <c r="J31" s="5">
        <f>$AF$7</f>
        <v>6.0279500000000006</v>
      </c>
      <c r="L31" s="119" t="s">
        <v>142</v>
      </c>
      <c r="M31" s="5">
        <f>(5.2/2)</f>
        <v>2.6</v>
      </c>
      <c r="N31" s="5">
        <f>$AI$7</f>
        <v>10.056335000000001</v>
      </c>
      <c r="O31" s="5">
        <f>$AF$7</f>
        <v>6.0279500000000006</v>
      </c>
      <c r="Q31" s="119" t="s">
        <v>142</v>
      </c>
      <c r="R31" s="5">
        <f>(5.2/2)</f>
        <v>2.6</v>
      </c>
      <c r="S31" s="5">
        <f>$AI$7</f>
        <v>10.056335000000001</v>
      </c>
      <c r="T31" s="5">
        <f>$AF$7</f>
        <v>6.0279500000000006</v>
      </c>
      <c r="V31" s="119" t="s">
        <v>142</v>
      </c>
      <c r="W31" s="5">
        <f>(5.2/2)</f>
        <v>2.6</v>
      </c>
      <c r="X31" s="5">
        <f>$AI$7</f>
        <v>10.056335000000001</v>
      </c>
      <c r="Y31" s="5">
        <f>$AF$7</f>
        <v>6.0279500000000006</v>
      </c>
      <c r="AB31" s="141">
        <v>101</v>
      </c>
      <c r="AC31" s="141"/>
      <c r="AD31" s="141" t="s">
        <v>369</v>
      </c>
      <c r="AE31" s="141" t="s">
        <v>370</v>
      </c>
      <c r="AF31" s="141" t="s">
        <v>371</v>
      </c>
      <c r="AG31" s="141" t="s">
        <v>372</v>
      </c>
      <c r="AH31" s="141" t="s">
        <v>373</v>
      </c>
      <c r="AJ31" s="141">
        <v>101</v>
      </c>
      <c r="AK31" s="141"/>
      <c r="AL31" s="141" t="s">
        <v>369</v>
      </c>
      <c r="AM31" s="141" t="s">
        <v>370</v>
      </c>
      <c r="AN31" s="141" t="s">
        <v>371</v>
      </c>
      <c r="AO31" s="141" t="s">
        <v>372</v>
      </c>
      <c r="AP31" s="141" t="s">
        <v>373</v>
      </c>
    </row>
    <row r="32" spans="1:43" x14ac:dyDescent="0.25">
      <c r="A32" s="12"/>
      <c r="B32" s="119" t="s">
        <v>143</v>
      </c>
      <c r="C32" s="5">
        <v>0</v>
      </c>
      <c r="D32" s="5">
        <f>$AI$9</f>
        <v>10.560335</v>
      </c>
      <c r="E32" s="5">
        <f>$AF$9</f>
        <v>5.9079499999999996</v>
      </c>
      <c r="G32" s="119" t="s">
        <v>143</v>
      </c>
      <c r="H32" s="5">
        <v>1.5</v>
      </c>
      <c r="I32" s="5">
        <f>$AI$9</f>
        <v>10.560335</v>
      </c>
      <c r="J32" s="5">
        <f>$AF$9</f>
        <v>5.9079499999999996</v>
      </c>
      <c r="L32" s="119" t="s">
        <v>143</v>
      </c>
      <c r="M32" s="5">
        <v>1.5</v>
      </c>
      <c r="N32" s="5">
        <f>$AI$9</f>
        <v>10.560335</v>
      </c>
      <c r="O32" s="5">
        <f>$AF$9</f>
        <v>5.9079499999999996</v>
      </c>
      <c r="Q32" s="119" t="s">
        <v>143</v>
      </c>
      <c r="R32" s="5">
        <v>1.5</v>
      </c>
      <c r="S32" s="5">
        <f>$AI$9</f>
        <v>10.560335</v>
      </c>
      <c r="T32" s="5">
        <f>$AF$9</f>
        <v>5.9079499999999996</v>
      </c>
      <c r="V32" s="119" t="s">
        <v>143</v>
      </c>
      <c r="W32" s="5">
        <v>0</v>
      </c>
      <c r="X32" s="5">
        <f>$AI$9</f>
        <v>10.560335</v>
      </c>
      <c r="Y32" s="5">
        <f>$AF$9</f>
        <v>5.9079499999999996</v>
      </c>
      <c r="AB32" s="90"/>
      <c r="AC32" s="61" t="s">
        <v>102</v>
      </c>
      <c r="AD32" s="142">
        <f>D37</f>
        <v>38.704471000000005</v>
      </c>
      <c r="AE32" s="142">
        <f>I37</f>
        <v>54.544973500000005</v>
      </c>
      <c r="AF32" s="142">
        <f>N37</f>
        <v>54.544973500000005</v>
      </c>
      <c r="AG32" s="142">
        <f>S37</f>
        <v>54.544973500000005</v>
      </c>
      <c r="AH32" s="142">
        <f>Y37</f>
        <v>25.332670000000004</v>
      </c>
      <c r="AJ32" s="90"/>
      <c r="AK32" s="61" t="s">
        <v>385</v>
      </c>
      <c r="AL32" s="142">
        <f>E37</f>
        <v>25.332670000000004</v>
      </c>
      <c r="AM32" s="142">
        <f>J37</f>
        <v>34.194595000000007</v>
      </c>
      <c r="AN32" s="142">
        <f>O37</f>
        <v>34.194595000000007</v>
      </c>
      <c r="AO32" s="142">
        <f>T37</f>
        <v>34.194595000000007</v>
      </c>
      <c r="AP32" s="142">
        <f>Y37</f>
        <v>25.332670000000004</v>
      </c>
    </row>
    <row r="33" spans="1:42" x14ac:dyDescent="0.25">
      <c r="A33" s="12"/>
      <c r="B33" s="119" t="s">
        <v>145</v>
      </c>
      <c r="C33" s="5">
        <v>0</v>
      </c>
      <c r="D33" s="5">
        <f>$AI$10</f>
        <v>17.240725948587251</v>
      </c>
      <c r="E33" s="5">
        <f>$AF$10</f>
        <v>11.04671226814404</v>
      </c>
      <c r="G33" s="119" t="s">
        <v>145</v>
      </c>
      <c r="H33" s="5">
        <v>0</v>
      </c>
      <c r="I33" s="5">
        <f>$AI$10</f>
        <v>17.240725948587251</v>
      </c>
      <c r="J33" s="5">
        <f>$AF$10</f>
        <v>11.04671226814404</v>
      </c>
      <c r="L33" s="119" t="s">
        <v>145</v>
      </c>
      <c r="M33" s="5">
        <v>0</v>
      </c>
      <c r="N33" s="5">
        <f>$AI$10</f>
        <v>17.240725948587251</v>
      </c>
      <c r="O33" s="5">
        <f>$AF$10</f>
        <v>11.04671226814404</v>
      </c>
      <c r="Q33" s="119" t="s">
        <v>145</v>
      </c>
      <c r="R33" s="5">
        <v>0</v>
      </c>
      <c r="S33" s="5">
        <f>$AI$10</f>
        <v>17.240725948587251</v>
      </c>
      <c r="T33" s="5">
        <f>$AF$10</f>
        <v>11.04671226814404</v>
      </c>
      <c r="V33" s="119" t="s">
        <v>145</v>
      </c>
      <c r="W33" s="5">
        <v>0</v>
      </c>
      <c r="X33" s="5">
        <f>$AI$10</f>
        <v>17.240725948587251</v>
      </c>
      <c r="Y33" s="5">
        <f>$AF$10</f>
        <v>11.04671226814404</v>
      </c>
      <c r="AB33" s="143">
        <v>102</v>
      </c>
      <c r="AC33" s="143"/>
      <c r="AD33" s="143" t="s">
        <v>374</v>
      </c>
      <c r="AE33" s="143" t="s">
        <v>375</v>
      </c>
      <c r="AF33" s="143" t="s">
        <v>376</v>
      </c>
      <c r="AG33" s="143" t="s">
        <v>377</v>
      </c>
      <c r="AH33" s="143" t="s">
        <v>378</v>
      </c>
      <c r="AJ33" s="143">
        <v>102</v>
      </c>
      <c r="AK33" s="143"/>
      <c r="AL33" s="143" t="s">
        <v>374</v>
      </c>
      <c r="AM33" s="143" t="s">
        <v>375</v>
      </c>
      <c r="AN33" s="143" t="s">
        <v>376</v>
      </c>
      <c r="AO33" s="143" t="s">
        <v>377</v>
      </c>
      <c r="AP33" s="143" t="s">
        <v>378</v>
      </c>
    </row>
    <row r="34" spans="1:42" x14ac:dyDescent="0.25">
      <c r="A34" s="12"/>
      <c r="B34" s="167" t="s">
        <v>146</v>
      </c>
      <c r="C34" s="168"/>
      <c r="D34" s="5">
        <f>$AG$11</f>
        <v>7.8000000000000007</v>
      </c>
      <c r="E34" s="5">
        <f>$AH$10</f>
        <v>6</v>
      </c>
      <c r="G34" s="167" t="s">
        <v>146</v>
      </c>
      <c r="H34" s="168"/>
      <c r="I34" s="5">
        <v>7.8</v>
      </c>
      <c r="J34" s="5">
        <v>6</v>
      </c>
      <c r="L34" s="167" t="s">
        <v>146</v>
      </c>
      <c r="M34" s="168"/>
      <c r="N34" s="5">
        <f>$AG$11</f>
        <v>7.8000000000000007</v>
      </c>
      <c r="O34" s="5">
        <f>$AH$10</f>
        <v>6</v>
      </c>
      <c r="Q34" s="167" t="s">
        <v>146</v>
      </c>
      <c r="R34" s="168"/>
      <c r="S34" s="5">
        <f>$AG$11</f>
        <v>7.8000000000000007</v>
      </c>
      <c r="T34" s="5">
        <f>$AH$10</f>
        <v>6</v>
      </c>
      <c r="V34" s="167" t="s">
        <v>146</v>
      </c>
      <c r="W34" s="168"/>
      <c r="X34" s="5">
        <f>$AG$11</f>
        <v>7.8000000000000007</v>
      </c>
      <c r="Y34" s="5">
        <f>$AH$10</f>
        <v>6</v>
      </c>
      <c r="AB34" s="90"/>
      <c r="AC34" s="61" t="s">
        <v>102</v>
      </c>
      <c r="AD34" s="142">
        <f>D27</f>
        <v>57.553758750000007</v>
      </c>
      <c r="AE34" s="142">
        <f>I27</f>
        <v>57.553758750000007</v>
      </c>
      <c r="AF34" s="142">
        <f>N27</f>
        <v>86.116467358614941</v>
      </c>
      <c r="AG34" s="142">
        <f>S27</f>
        <v>57.553758750000007</v>
      </c>
      <c r="AH34" s="142">
        <f>X27</f>
        <v>57.553758750000007</v>
      </c>
      <c r="AJ34" s="90"/>
      <c r="AK34" s="61" t="s">
        <v>385</v>
      </c>
      <c r="AL34" s="142">
        <f>E27</f>
        <v>35.306737500000004</v>
      </c>
      <c r="AM34" s="142">
        <f>J27</f>
        <v>35.306737500000004</v>
      </c>
      <c r="AN34" s="142">
        <f>O27</f>
        <v>55.711128737396109</v>
      </c>
      <c r="AO34" s="142">
        <f>T27</f>
        <v>35.306737500000004</v>
      </c>
      <c r="AP34" s="142">
        <f>Y27</f>
        <v>35.306737500000004</v>
      </c>
    </row>
    <row r="35" spans="1:42" x14ac:dyDescent="0.25">
      <c r="A35" s="12"/>
      <c r="B35" s="273"/>
      <c r="C35" s="274"/>
      <c r="D35" s="5">
        <f>C31*D31+C32*D32+C33*D33+D34</f>
        <v>33.946471000000003</v>
      </c>
      <c r="E35" s="5">
        <f>C31*E31+C32*E32+C33*E33+E34</f>
        <v>21.672670000000004</v>
      </c>
      <c r="G35" s="273"/>
      <c r="H35" s="274"/>
      <c r="I35" s="5">
        <f>H31*I31+H32*I32+H33*I33+I34</f>
        <v>49.786973500000002</v>
      </c>
      <c r="J35" s="5">
        <f>H31*J31+H32*J32+H33*J33+J34</f>
        <v>30.534595000000003</v>
      </c>
      <c r="L35" s="273"/>
      <c r="M35" s="274"/>
      <c r="N35" s="5">
        <f>M31*N31+M32*N32+M33*N33+N34</f>
        <v>49.786973500000002</v>
      </c>
      <c r="O35" s="5">
        <f>M31*O31+M32*O32+M33*O33+O34</f>
        <v>30.534595000000003</v>
      </c>
      <c r="Q35" s="273"/>
      <c r="R35" s="274"/>
      <c r="S35" s="5">
        <f>R31*S31+R32*S32+R33*S33+S34</f>
        <v>49.786973500000002</v>
      </c>
      <c r="T35" s="5">
        <f>R31*T31+R32*T32+R33*T33+T34</f>
        <v>30.534595000000003</v>
      </c>
      <c r="V35" s="273"/>
      <c r="W35" s="274"/>
      <c r="X35" s="5">
        <f>W31*X31+W32*X32+W33*X33+X34</f>
        <v>33.946471000000003</v>
      </c>
      <c r="Y35" s="5">
        <f>W31*Y31+W32*Y32+W33*Y33+Y34</f>
        <v>21.672670000000004</v>
      </c>
      <c r="AB35" s="145">
        <v>103</v>
      </c>
      <c r="AC35" s="145"/>
      <c r="AD35" s="145" t="s">
        <v>379</v>
      </c>
      <c r="AE35" s="145" t="s">
        <v>380</v>
      </c>
      <c r="AF35" s="145" t="s">
        <v>381</v>
      </c>
      <c r="AG35" s="145" t="s">
        <v>382</v>
      </c>
      <c r="AH35" s="145" t="s">
        <v>383</v>
      </c>
      <c r="AJ35" s="145">
        <v>103</v>
      </c>
      <c r="AK35" s="145"/>
      <c r="AL35" s="145" t="s">
        <v>379</v>
      </c>
      <c r="AM35" s="145" t="s">
        <v>380</v>
      </c>
      <c r="AN35" s="145" t="s">
        <v>381</v>
      </c>
      <c r="AO35" s="145" t="s">
        <v>382</v>
      </c>
      <c r="AP35" s="145" t="s">
        <v>383</v>
      </c>
    </row>
    <row r="36" spans="1:42" x14ac:dyDescent="0.25">
      <c r="A36" s="12"/>
      <c r="B36" s="179" t="s">
        <v>201</v>
      </c>
      <c r="C36" s="181"/>
      <c r="D36" s="144">
        <f>E36*1.3</f>
        <v>4.758</v>
      </c>
      <c r="E36" s="5">
        <f>(0.3*E3*1*25)-0.3*2.8</f>
        <v>3.66</v>
      </c>
      <c r="G36" s="179" t="s">
        <v>201</v>
      </c>
      <c r="H36" s="181"/>
      <c r="I36" s="144">
        <f>J36*1.3</f>
        <v>4.758</v>
      </c>
      <c r="J36" s="5">
        <f>(0.3*E3*1*25)-0.3*2.8</f>
        <v>3.66</v>
      </c>
      <c r="L36" s="179" t="s">
        <v>201</v>
      </c>
      <c r="M36" s="181"/>
      <c r="N36" s="144">
        <f>O36*1.3</f>
        <v>4.758</v>
      </c>
      <c r="O36" s="5">
        <f>(0.3*E3*1*25)-0.3*2.8</f>
        <v>3.66</v>
      </c>
      <c r="Q36" s="179" t="s">
        <v>201</v>
      </c>
      <c r="R36" s="181"/>
      <c r="S36" s="144">
        <f>T36*1.3</f>
        <v>4.758</v>
      </c>
      <c r="T36" s="5">
        <f>(0.3*E3*1*25)-0.3*2.8</f>
        <v>3.66</v>
      </c>
      <c r="V36" s="179" t="s">
        <v>201</v>
      </c>
      <c r="W36" s="181"/>
      <c r="X36" s="144">
        <f>Y36*1.3</f>
        <v>4.758</v>
      </c>
      <c r="Y36" s="5">
        <f>(0.3*E3*1*25)-0.3*2.8</f>
        <v>3.66</v>
      </c>
      <c r="AB36" s="146"/>
      <c r="AC36" s="61" t="s">
        <v>102</v>
      </c>
      <c r="AD36" s="142">
        <f>D16</f>
        <v>39.207287749999999</v>
      </c>
      <c r="AE36" s="142">
        <f>I16</f>
        <v>55.047790249999998</v>
      </c>
      <c r="AF36" s="142">
        <f>N16</f>
        <v>59.969996358614942</v>
      </c>
      <c r="AG36" s="142">
        <f>S16</f>
        <v>55.047790249999998</v>
      </c>
      <c r="AH36" s="142">
        <f>X16</f>
        <v>39.207287749999999</v>
      </c>
      <c r="AJ36" s="146"/>
      <c r="AK36" s="61" t="s">
        <v>385</v>
      </c>
      <c r="AL36" s="142">
        <f>E16</f>
        <v>25.6340675</v>
      </c>
      <c r="AM36" s="142">
        <f>J16</f>
        <v>34.4959925</v>
      </c>
      <c r="AN36" s="142">
        <f>O16</f>
        <v>40.038458737396112</v>
      </c>
      <c r="AO36" s="142">
        <f>T16</f>
        <v>34.4959925</v>
      </c>
      <c r="AP36" s="142">
        <f>Y16</f>
        <v>25.6340675</v>
      </c>
    </row>
    <row r="37" spans="1:42" ht="15.75" thickBot="1" x14ac:dyDescent="0.3">
      <c r="A37" s="12"/>
      <c r="B37" s="330" t="s">
        <v>109</v>
      </c>
      <c r="C37" s="331"/>
      <c r="D37" s="5">
        <f>SUM(D35:D36)</f>
        <v>38.704471000000005</v>
      </c>
      <c r="E37" s="5">
        <f>SUM(E35:E36)</f>
        <v>25.332670000000004</v>
      </c>
      <c r="G37" s="179" t="s">
        <v>109</v>
      </c>
      <c r="H37" s="181"/>
      <c r="I37" s="5">
        <f>SUM(I35:I36)</f>
        <v>54.544973500000005</v>
      </c>
      <c r="J37" s="5">
        <f>SUM(J35:J36)</f>
        <v>34.194595000000007</v>
      </c>
      <c r="L37" s="179" t="s">
        <v>109</v>
      </c>
      <c r="M37" s="181"/>
      <c r="N37" s="5">
        <f>SUM(N35:N36)</f>
        <v>54.544973500000005</v>
      </c>
      <c r="O37" s="5">
        <f>SUM(O35:O36)</f>
        <v>34.194595000000007</v>
      </c>
      <c r="Q37" s="179" t="s">
        <v>109</v>
      </c>
      <c r="R37" s="181"/>
      <c r="S37" s="5">
        <f>SUM(S35:S36)</f>
        <v>54.544973500000005</v>
      </c>
      <c r="T37" s="5">
        <f>SUM(T35:T36)</f>
        <v>34.194595000000007</v>
      </c>
      <c r="V37" s="179" t="s">
        <v>109</v>
      </c>
      <c r="W37" s="181"/>
      <c r="X37" s="5">
        <f>SUM(X35:X36)</f>
        <v>38.704471000000005</v>
      </c>
      <c r="Y37" s="5">
        <f>SUM(Y35:Y36)</f>
        <v>25.332670000000004</v>
      </c>
    </row>
    <row r="38" spans="1:42" ht="16.5" thickTop="1" x14ac:dyDescent="0.25">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147" t="s">
        <v>386</v>
      </c>
    </row>
    <row r="40" spans="1:42" ht="15.75" x14ac:dyDescent="0.25">
      <c r="A40" s="148" t="s">
        <v>387</v>
      </c>
      <c r="B40" s="267" t="s">
        <v>258</v>
      </c>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2"/>
      <c r="AF40" s="219" t="s">
        <v>388</v>
      </c>
      <c r="AG40" s="220"/>
      <c r="AH40" s="220"/>
      <c r="AI40" s="221"/>
      <c r="AK40" s="219" t="s">
        <v>389</v>
      </c>
      <c r="AL40" s="220"/>
      <c r="AM40" s="220"/>
      <c r="AN40" s="221"/>
    </row>
    <row r="41" spans="1:42" ht="15" customHeight="1" x14ac:dyDescent="0.25">
      <c r="A41" s="326" t="s">
        <v>390</v>
      </c>
      <c r="B41" s="323"/>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5"/>
      <c r="AF41" s="140" t="s">
        <v>367</v>
      </c>
      <c r="AG41" s="149"/>
      <c r="AH41" s="328" t="s">
        <v>391</v>
      </c>
      <c r="AI41" s="329"/>
      <c r="AK41" s="140" t="s">
        <v>367</v>
      </c>
      <c r="AL41" s="149"/>
      <c r="AM41" s="328" t="s">
        <v>391</v>
      </c>
      <c r="AN41" s="329"/>
    </row>
    <row r="42" spans="1:42" ht="18.75" x14ac:dyDescent="0.25">
      <c r="A42" s="327"/>
      <c r="B42" s="275" t="s">
        <v>207</v>
      </c>
      <c r="C42" s="276"/>
      <c r="D42" s="276"/>
      <c r="E42" s="277"/>
      <c r="F42" s="156"/>
      <c r="G42" s="275" t="s">
        <v>209</v>
      </c>
      <c r="H42" s="276"/>
      <c r="I42" s="276"/>
      <c r="J42" s="277"/>
      <c r="K42" s="156"/>
      <c r="L42" s="275" t="s">
        <v>211</v>
      </c>
      <c r="M42" s="276"/>
      <c r="N42" s="276"/>
      <c r="O42" s="277"/>
      <c r="P42" s="156"/>
      <c r="Q42" s="275" t="s">
        <v>213</v>
      </c>
      <c r="R42" s="276"/>
      <c r="S42" s="276"/>
      <c r="T42" s="277"/>
      <c r="U42" s="156"/>
      <c r="V42" s="275" t="s">
        <v>128</v>
      </c>
      <c r="W42" s="276"/>
      <c r="X42" s="276"/>
      <c r="Y42" s="277"/>
      <c r="Z42" s="115"/>
      <c r="AA42" s="275" t="s">
        <v>129</v>
      </c>
      <c r="AB42" s="276"/>
      <c r="AC42" s="276"/>
      <c r="AD42" s="277"/>
      <c r="AF42" s="150">
        <v>104</v>
      </c>
      <c r="AG42" s="150"/>
      <c r="AH42" s="150" t="s">
        <v>392</v>
      </c>
      <c r="AI42" s="150" t="s">
        <v>393</v>
      </c>
      <c r="AK42" s="150">
        <v>104</v>
      </c>
      <c r="AL42" s="150"/>
      <c r="AM42" s="150" t="s">
        <v>392</v>
      </c>
      <c r="AN42" s="150" t="s">
        <v>393</v>
      </c>
    </row>
    <row r="43" spans="1:42" ht="18" x14ac:dyDescent="0.25">
      <c r="A43" s="319"/>
      <c r="B43" s="119"/>
      <c r="C43" s="122" t="s">
        <v>140</v>
      </c>
      <c r="D43" s="122" t="s">
        <v>141</v>
      </c>
      <c r="E43" s="122" t="s">
        <v>202</v>
      </c>
      <c r="F43" s="156"/>
      <c r="G43" s="119"/>
      <c r="H43" s="122" t="s">
        <v>140</v>
      </c>
      <c r="I43" s="122" t="s">
        <v>141</v>
      </c>
      <c r="J43" s="122" t="s">
        <v>202</v>
      </c>
      <c r="K43" s="156"/>
      <c r="L43" s="119"/>
      <c r="M43" s="122" t="s">
        <v>140</v>
      </c>
      <c r="N43" s="122" t="s">
        <v>141</v>
      </c>
      <c r="O43" s="122" t="s">
        <v>202</v>
      </c>
      <c r="P43" s="156"/>
      <c r="Q43" s="119"/>
      <c r="R43" s="122" t="s">
        <v>140</v>
      </c>
      <c r="S43" s="122" t="s">
        <v>141</v>
      </c>
      <c r="T43" s="122" t="s">
        <v>202</v>
      </c>
      <c r="U43" s="156"/>
      <c r="V43" s="119"/>
      <c r="W43" s="122" t="s">
        <v>140</v>
      </c>
      <c r="X43" s="122" t="s">
        <v>141</v>
      </c>
      <c r="Y43" s="122" t="s">
        <v>202</v>
      </c>
      <c r="Z43" s="115"/>
      <c r="AA43" s="119"/>
      <c r="AB43" s="122" t="s">
        <v>140</v>
      </c>
      <c r="AC43" s="122" t="s">
        <v>141</v>
      </c>
      <c r="AD43" s="122" t="s">
        <v>202</v>
      </c>
      <c r="AF43" s="151"/>
      <c r="AG43" s="61" t="s">
        <v>102</v>
      </c>
      <c r="AH43" s="142">
        <f>D61</f>
        <v>17.586167500000002</v>
      </c>
      <c r="AI43" s="142">
        <f>D50</f>
        <v>17.586167500000002</v>
      </c>
      <c r="AK43" s="151"/>
      <c r="AL43" s="61" t="s">
        <v>385</v>
      </c>
      <c r="AM43" s="142">
        <f>E61</f>
        <v>12.673975</v>
      </c>
      <c r="AN43" s="142">
        <f>E50</f>
        <v>12.673975</v>
      </c>
    </row>
    <row r="44" spans="1:42" x14ac:dyDescent="0.25">
      <c r="A44" s="319"/>
      <c r="B44" s="119" t="s">
        <v>142</v>
      </c>
      <c r="C44" s="5">
        <v>0.5</v>
      </c>
      <c r="D44" s="5">
        <f>$AI$7</f>
        <v>10.056335000000001</v>
      </c>
      <c r="E44" s="5">
        <f>$AF$7</f>
        <v>6.0279500000000006</v>
      </c>
      <c r="F44" s="156"/>
      <c r="G44" s="119" t="s">
        <v>142</v>
      </c>
      <c r="H44" s="5">
        <v>1</v>
      </c>
      <c r="I44" s="5">
        <f>$AI$7</f>
        <v>10.056335000000001</v>
      </c>
      <c r="J44" s="5">
        <f>$AF$7</f>
        <v>6.0279500000000006</v>
      </c>
      <c r="K44" s="156"/>
      <c r="L44" s="119" t="s">
        <v>142</v>
      </c>
      <c r="M44" s="5">
        <v>0.5</v>
      </c>
      <c r="N44" s="5">
        <f>$AI$7</f>
        <v>10.056335000000001</v>
      </c>
      <c r="O44" s="5">
        <f>$AF$7</f>
        <v>6.0279500000000006</v>
      </c>
      <c r="P44" s="156"/>
      <c r="Q44" s="119" t="s">
        <v>142</v>
      </c>
      <c r="R44" s="5">
        <v>0.5</v>
      </c>
      <c r="S44" s="5">
        <f>$AI$7</f>
        <v>10.056335000000001</v>
      </c>
      <c r="T44" s="5">
        <f>$AF$7</f>
        <v>6.0279500000000006</v>
      </c>
      <c r="U44" s="156"/>
      <c r="V44" s="119" t="s">
        <v>142</v>
      </c>
      <c r="W44" s="5">
        <v>1</v>
      </c>
      <c r="X44" s="5">
        <f>$AI$7</f>
        <v>10.056335000000001</v>
      </c>
      <c r="Y44" s="5">
        <f>$AF$7</f>
        <v>6.0279500000000006</v>
      </c>
      <c r="Z44" s="115"/>
      <c r="AA44" s="119" t="s">
        <v>142</v>
      </c>
      <c r="AB44" s="5">
        <v>0.5</v>
      </c>
      <c r="AC44" s="5">
        <f>$AI$7</f>
        <v>10.056335000000001</v>
      </c>
      <c r="AD44" s="5">
        <f>$AF$7</f>
        <v>6.0279500000000006</v>
      </c>
      <c r="AF44" s="152">
        <v>105</v>
      </c>
      <c r="AG44" s="152"/>
      <c r="AH44" s="152" t="s">
        <v>394</v>
      </c>
      <c r="AI44" s="152" t="s">
        <v>395</v>
      </c>
      <c r="AK44" s="152">
        <v>105</v>
      </c>
      <c r="AL44" s="152"/>
      <c r="AM44" s="152" t="s">
        <v>394</v>
      </c>
      <c r="AN44" s="152" t="s">
        <v>395</v>
      </c>
    </row>
    <row r="45" spans="1:42" x14ac:dyDescent="0.25">
      <c r="A45" s="319"/>
      <c r="B45" s="119" t="s">
        <v>143</v>
      </c>
      <c r="C45" s="5">
        <v>0</v>
      </c>
      <c r="D45" s="5">
        <f>$AI$9</f>
        <v>10.560335</v>
      </c>
      <c r="E45" s="5">
        <f>$AF$9</f>
        <v>5.9079499999999996</v>
      </c>
      <c r="F45" s="156"/>
      <c r="G45" s="119" t="s">
        <v>143</v>
      </c>
      <c r="H45" s="5">
        <v>0</v>
      </c>
      <c r="I45" s="5">
        <f>$AI$9</f>
        <v>10.560335</v>
      </c>
      <c r="J45" s="5">
        <f>$AF$9</f>
        <v>5.9079499999999996</v>
      </c>
      <c r="K45" s="156"/>
      <c r="L45" s="119" t="s">
        <v>143</v>
      </c>
      <c r="M45" s="5">
        <v>0</v>
      </c>
      <c r="N45" s="5">
        <f>$AI$9</f>
        <v>10.560335</v>
      </c>
      <c r="O45" s="5">
        <f>$AF$9</f>
        <v>5.9079499999999996</v>
      </c>
      <c r="P45" s="156"/>
      <c r="Q45" s="119" t="s">
        <v>143</v>
      </c>
      <c r="R45" s="5">
        <v>0</v>
      </c>
      <c r="S45" s="5">
        <f>$AI$9</f>
        <v>10.560335</v>
      </c>
      <c r="T45" s="5">
        <f>$AF$9</f>
        <v>5.9079499999999996</v>
      </c>
      <c r="U45" s="156"/>
      <c r="V45" s="119" t="s">
        <v>143</v>
      </c>
      <c r="W45" s="5">
        <v>0</v>
      </c>
      <c r="X45" s="5">
        <f>$AI$9</f>
        <v>10.560335</v>
      </c>
      <c r="Y45" s="5">
        <f>$AF$9</f>
        <v>5.9079499999999996</v>
      </c>
      <c r="Z45" s="115"/>
      <c r="AA45" s="119" t="s">
        <v>143</v>
      </c>
      <c r="AB45" s="5">
        <v>0</v>
      </c>
      <c r="AC45" s="5">
        <f>$AI$9</f>
        <v>10.560335</v>
      </c>
      <c r="AD45" s="5">
        <f>$AF$9</f>
        <v>5.9079499999999996</v>
      </c>
      <c r="AF45" s="151"/>
      <c r="AG45" s="61" t="s">
        <v>102</v>
      </c>
      <c r="AH45" s="142">
        <f>I61</f>
        <v>11.109335000000002</v>
      </c>
      <c r="AI45" s="142">
        <f>I50</f>
        <v>11.109335000000002</v>
      </c>
      <c r="AK45" s="151"/>
      <c r="AL45" s="61" t="s">
        <v>385</v>
      </c>
      <c r="AM45" s="142">
        <f>J61</f>
        <v>6.8379500000000011</v>
      </c>
      <c r="AN45" s="142">
        <f>J50</f>
        <v>6.8379500000000011</v>
      </c>
    </row>
    <row r="46" spans="1:42" x14ac:dyDescent="0.25">
      <c r="A46" s="319"/>
      <c r="B46" s="119" t="s">
        <v>145</v>
      </c>
      <c r="C46" s="5">
        <v>0</v>
      </c>
      <c r="D46" s="5">
        <f>$AI$10</f>
        <v>17.240725948587251</v>
      </c>
      <c r="E46" s="5">
        <f>$AF$10</f>
        <v>11.04671226814404</v>
      </c>
      <c r="F46" s="156"/>
      <c r="G46" s="119" t="s">
        <v>145</v>
      </c>
      <c r="H46" s="5">
        <v>0</v>
      </c>
      <c r="I46" s="5">
        <f>$AI$10</f>
        <v>17.240725948587251</v>
      </c>
      <c r="J46" s="5">
        <f>$AF$10</f>
        <v>11.04671226814404</v>
      </c>
      <c r="K46" s="156"/>
      <c r="L46" s="119" t="s">
        <v>145</v>
      </c>
      <c r="M46" s="5">
        <v>0</v>
      </c>
      <c r="N46" s="5">
        <f>$AI$10</f>
        <v>17.240725948587251</v>
      </c>
      <c r="O46" s="5">
        <f>$AF$10</f>
        <v>11.04671226814404</v>
      </c>
      <c r="P46" s="156"/>
      <c r="Q46" s="119" t="s">
        <v>145</v>
      </c>
      <c r="R46" s="5">
        <v>0</v>
      </c>
      <c r="S46" s="5">
        <f>$AI$10</f>
        <v>17.240725948587251</v>
      </c>
      <c r="T46" s="5">
        <f>$AF$10</f>
        <v>11.04671226814404</v>
      </c>
      <c r="U46" s="156"/>
      <c r="V46" s="119" t="s">
        <v>145</v>
      </c>
      <c r="W46" s="5">
        <v>0</v>
      </c>
      <c r="X46" s="5">
        <f>$AI$10</f>
        <v>17.240725948587251</v>
      </c>
      <c r="Y46" s="5">
        <f>$AF$10</f>
        <v>11.04671226814404</v>
      </c>
      <c r="Z46" s="115"/>
      <c r="AA46" s="119" t="s">
        <v>145</v>
      </c>
      <c r="AB46" s="5">
        <v>0</v>
      </c>
      <c r="AC46" s="5">
        <f>$AI$10</f>
        <v>17.240725948587251</v>
      </c>
      <c r="AD46" s="5">
        <f>$AF$10</f>
        <v>11.04671226814404</v>
      </c>
      <c r="AF46" s="153">
        <v>106</v>
      </c>
      <c r="AG46" s="153"/>
      <c r="AH46" s="153" t="s">
        <v>396</v>
      </c>
      <c r="AI46" s="153" t="s">
        <v>397</v>
      </c>
      <c r="AK46" s="153">
        <v>106</v>
      </c>
      <c r="AL46" s="153"/>
      <c r="AM46" s="153" t="s">
        <v>396</v>
      </c>
      <c r="AN46" s="153" t="s">
        <v>397</v>
      </c>
    </row>
    <row r="47" spans="1:42" x14ac:dyDescent="0.25">
      <c r="A47" s="319"/>
      <c r="B47" s="120" t="s">
        <v>146</v>
      </c>
      <c r="C47" s="121"/>
      <c r="D47" s="5">
        <f>$AG$11</f>
        <v>7.8000000000000007</v>
      </c>
      <c r="E47" s="5">
        <f>$AH$10</f>
        <v>6</v>
      </c>
      <c r="F47" s="156"/>
      <c r="G47" s="43" t="s">
        <v>146</v>
      </c>
      <c r="H47" s="44"/>
      <c r="I47" s="5">
        <v>0</v>
      </c>
      <c r="J47" s="5">
        <v>0</v>
      </c>
      <c r="K47" s="156"/>
      <c r="L47" s="43" t="s">
        <v>146</v>
      </c>
      <c r="M47" s="44"/>
      <c r="N47" s="5">
        <f>$AG$11</f>
        <v>7.8000000000000007</v>
      </c>
      <c r="O47" s="5">
        <f>$AH$10</f>
        <v>6</v>
      </c>
      <c r="P47" s="156"/>
      <c r="Q47" s="120" t="s">
        <v>146</v>
      </c>
      <c r="R47" s="121"/>
      <c r="S47" s="5">
        <f>$AG$11</f>
        <v>7.8000000000000007</v>
      </c>
      <c r="T47" s="5">
        <f>$AH$10</f>
        <v>6</v>
      </c>
      <c r="U47" s="156"/>
      <c r="V47" s="120" t="s">
        <v>146</v>
      </c>
      <c r="W47" s="121"/>
      <c r="X47" s="5">
        <v>0</v>
      </c>
      <c r="Y47" s="5">
        <v>0</v>
      </c>
      <c r="Z47" s="115"/>
      <c r="AA47" s="120" t="s">
        <v>146</v>
      </c>
      <c r="AB47" s="121"/>
      <c r="AC47" s="5">
        <f>$AG$11</f>
        <v>7.8000000000000007</v>
      </c>
      <c r="AD47" s="5">
        <f>$AH$10</f>
        <v>6</v>
      </c>
      <c r="AF47" s="151"/>
      <c r="AG47" s="61" t="s">
        <v>102</v>
      </c>
      <c r="AH47" s="142">
        <f>N61</f>
        <v>22.614335000000001</v>
      </c>
      <c r="AI47" s="142">
        <f>N50</f>
        <v>17.586167500000002</v>
      </c>
      <c r="AK47" s="151"/>
      <c r="AL47" s="61" t="s">
        <v>385</v>
      </c>
      <c r="AM47" s="142">
        <f>O61</f>
        <v>15.687950000000001</v>
      </c>
      <c r="AN47" s="142">
        <f>O50</f>
        <v>12.673975</v>
      </c>
    </row>
    <row r="48" spans="1:42" x14ac:dyDescent="0.25">
      <c r="A48" s="319"/>
      <c r="B48" s="129"/>
      <c r="C48" s="130"/>
      <c r="D48" s="5">
        <f>C44*D44+C45*D45+C46*D46+D47</f>
        <v>12.828167500000001</v>
      </c>
      <c r="E48" s="5">
        <f>C44*E44+C45*E45+C46*E46+E47</f>
        <v>9.0139750000000003</v>
      </c>
      <c r="F48" s="156"/>
      <c r="G48" s="45"/>
      <c r="H48" s="46"/>
      <c r="I48" s="5">
        <f>H44*I44+H45*I45+H46*I46+I47</f>
        <v>10.056335000000001</v>
      </c>
      <c r="J48" s="5">
        <f>H44*J44+H45*J45+H46*J46+J47</f>
        <v>6.0279500000000006</v>
      </c>
      <c r="K48" s="156"/>
      <c r="L48" s="45"/>
      <c r="M48" s="46"/>
      <c r="N48" s="5">
        <f>M44*N44+M45*N45+M46*N46+N47</f>
        <v>12.828167500000001</v>
      </c>
      <c r="O48" s="5">
        <f>M44*O44+M45*O45+M46*O46+O47</f>
        <v>9.0139750000000003</v>
      </c>
      <c r="P48" s="156"/>
      <c r="Q48" s="129"/>
      <c r="R48" s="130"/>
      <c r="S48" s="5">
        <f>R44*S44+R45*S45+R46*S46+S47</f>
        <v>12.828167500000001</v>
      </c>
      <c r="T48" s="5">
        <f>R44*T44+R45*T45+R46*T46+T47</f>
        <v>9.0139750000000003</v>
      </c>
      <c r="U48" s="156"/>
      <c r="V48" s="129"/>
      <c r="W48" s="130"/>
      <c r="X48" s="5">
        <f>W44*X44+W45*X45+W46*X46+X47</f>
        <v>10.056335000000001</v>
      </c>
      <c r="Y48" s="5">
        <f>W44*Y44+W45*Y45+W46*Y46+Y47</f>
        <v>6.0279500000000006</v>
      </c>
      <c r="Z48" s="115"/>
      <c r="AA48" s="129"/>
      <c r="AB48" s="130"/>
      <c r="AC48" s="5">
        <f>AB44*AC44+AB45*AC45+AB46*AC46+AC47</f>
        <v>12.828167500000001</v>
      </c>
      <c r="AD48" s="5">
        <f>AB44*AD44+AB45*AD45+AB46*AD46+AD47</f>
        <v>9.0139750000000003</v>
      </c>
      <c r="AF48" s="154">
        <v>107</v>
      </c>
      <c r="AG48" s="154"/>
      <c r="AH48" s="154" t="s">
        <v>398</v>
      </c>
      <c r="AI48" s="154" t="s">
        <v>399</v>
      </c>
      <c r="AK48" s="154">
        <v>107</v>
      </c>
      <c r="AL48" s="154"/>
      <c r="AM48" s="154" t="s">
        <v>398</v>
      </c>
      <c r="AN48" s="154" t="s">
        <v>399</v>
      </c>
    </row>
    <row r="49" spans="1:40" x14ac:dyDescent="0.25">
      <c r="A49" s="319"/>
      <c r="B49" s="179" t="s">
        <v>201</v>
      </c>
      <c r="C49" s="181"/>
      <c r="D49" s="157">
        <f>E49*1.3</f>
        <v>4.758</v>
      </c>
      <c r="E49" s="5">
        <f>(0.3*E3*1*25)-0.3*2.8</f>
        <v>3.66</v>
      </c>
      <c r="F49" s="156"/>
      <c r="G49" s="179" t="s">
        <v>201</v>
      </c>
      <c r="H49" s="181"/>
      <c r="I49" s="144">
        <f>J49*1.3</f>
        <v>1.0530000000000002</v>
      </c>
      <c r="J49" s="5">
        <f>(0.3*I3*1*25)-0.3*2.8</f>
        <v>0.81000000000000016</v>
      </c>
      <c r="K49" s="156"/>
      <c r="L49" s="179" t="s">
        <v>201</v>
      </c>
      <c r="M49" s="181"/>
      <c r="N49" s="144">
        <f>O49*1.3</f>
        <v>4.758</v>
      </c>
      <c r="O49" s="5">
        <f>(0.3*E3*1*25)-0.3*2.8</f>
        <v>3.66</v>
      </c>
      <c r="P49" s="156"/>
      <c r="Q49" s="179" t="s">
        <v>201</v>
      </c>
      <c r="R49" s="181"/>
      <c r="S49" s="144">
        <f>T49*1.3</f>
        <v>4.758</v>
      </c>
      <c r="T49" s="5">
        <f>(0.3*E3*1*25)-0.3*2.8</f>
        <v>3.66</v>
      </c>
      <c r="U49" s="156"/>
      <c r="V49" s="179" t="s">
        <v>201</v>
      </c>
      <c r="W49" s="181"/>
      <c r="X49" s="144">
        <f>Y49*1.3</f>
        <v>1.0530000000000002</v>
      </c>
      <c r="Y49" s="5">
        <f>(0.3*I3*1*25)-0.3*2.8</f>
        <v>0.81000000000000016</v>
      </c>
      <c r="Z49" s="115"/>
      <c r="AA49" s="179" t="s">
        <v>201</v>
      </c>
      <c r="AB49" s="181"/>
      <c r="AC49" s="144">
        <f>AD49*1.3</f>
        <v>4.758</v>
      </c>
      <c r="AD49" s="5">
        <f>(0.3*E3*1*25)-0.3*2.8</f>
        <v>3.66</v>
      </c>
      <c r="AF49" s="151"/>
      <c r="AG49" s="61" t="s">
        <v>102</v>
      </c>
      <c r="AH49" s="142">
        <f>S61</f>
        <v>14.814335</v>
      </c>
      <c r="AI49" s="142">
        <f>S50</f>
        <v>17.586167500000002</v>
      </c>
      <c r="AK49" s="151"/>
      <c r="AL49" s="61" t="s">
        <v>385</v>
      </c>
      <c r="AM49" s="142">
        <f>T61</f>
        <v>9.6879500000000007</v>
      </c>
      <c r="AN49" s="142">
        <f>T50</f>
        <v>12.673975</v>
      </c>
    </row>
    <row r="50" spans="1:40" x14ac:dyDescent="0.25">
      <c r="A50" s="319"/>
      <c r="B50" s="123" t="s">
        <v>109</v>
      </c>
      <c r="C50" s="124"/>
      <c r="D50" s="5">
        <f>SUM(D48:D49)</f>
        <v>17.586167500000002</v>
      </c>
      <c r="E50" s="5">
        <f>SUM(E48:E49)</f>
        <v>12.673975</v>
      </c>
      <c r="F50" s="156"/>
      <c r="G50" s="43" t="s">
        <v>109</v>
      </c>
      <c r="H50" s="44"/>
      <c r="I50" s="5">
        <f>SUM(I48:I49)</f>
        <v>11.109335000000002</v>
      </c>
      <c r="J50" s="5">
        <f>SUM(J48:J49)</f>
        <v>6.8379500000000011</v>
      </c>
      <c r="K50" s="156"/>
      <c r="L50" s="43" t="s">
        <v>109</v>
      </c>
      <c r="M50" s="44"/>
      <c r="N50" s="5">
        <f>SUM(N48:N49)</f>
        <v>17.586167500000002</v>
      </c>
      <c r="O50" s="5">
        <f>SUM(O48:O49)</f>
        <v>12.673975</v>
      </c>
      <c r="P50" s="156"/>
      <c r="Q50" s="123" t="s">
        <v>109</v>
      </c>
      <c r="R50" s="124"/>
      <c r="S50" s="5">
        <f>SUM(S48:S49)</f>
        <v>17.586167500000002</v>
      </c>
      <c r="T50" s="5">
        <f>SUM(T48:T49)</f>
        <v>12.673975</v>
      </c>
      <c r="U50" s="156"/>
      <c r="V50" s="123" t="s">
        <v>109</v>
      </c>
      <c r="W50" s="124"/>
      <c r="X50" s="5">
        <f>SUM(X48:X49)</f>
        <v>11.109335000000002</v>
      </c>
      <c r="Y50" s="5">
        <f>SUM(Y48:Y49)</f>
        <v>6.8379500000000011</v>
      </c>
      <c r="Z50" s="115"/>
      <c r="AA50" s="123" t="s">
        <v>109</v>
      </c>
      <c r="AB50" s="124"/>
      <c r="AC50" s="5">
        <f>SUM(AC48:AC49)</f>
        <v>17.586167500000002</v>
      </c>
      <c r="AD50" s="5">
        <f>SUM(AD48:AD49)</f>
        <v>12.673975</v>
      </c>
      <c r="AF50" s="155">
        <v>108</v>
      </c>
      <c r="AG50" s="155"/>
      <c r="AH50" s="155" t="s">
        <v>400</v>
      </c>
      <c r="AI50" s="155" t="s">
        <v>401</v>
      </c>
      <c r="AK50" s="155">
        <v>108</v>
      </c>
      <c r="AL50" s="155"/>
      <c r="AM50" s="155" t="s">
        <v>400</v>
      </c>
      <c r="AN50" s="155" t="s">
        <v>401</v>
      </c>
    </row>
    <row r="51" spans="1:40" x14ac:dyDescent="0.25">
      <c r="A51" s="319"/>
      <c r="B51" s="40"/>
      <c r="C51" s="40"/>
      <c r="D51" s="40"/>
      <c r="E51" s="40"/>
      <c r="F51" s="156"/>
      <c r="G51" s="40"/>
      <c r="H51" s="40"/>
      <c r="I51" s="40"/>
      <c r="J51" s="40"/>
      <c r="K51" s="156"/>
      <c r="L51" s="40"/>
      <c r="M51" s="40"/>
      <c r="N51" s="40"/>
      <c r="O51" s="40"/>
      <c r="P51" s="156"/>
      <c r="Q51" s="40"/>
      <c r="R51" s="40"/>
      <c r="S51" s="40"/>
      <c r="T51" s="40"/>
      <c r="U51" s="156"/>
      <c r="V51" s="40"/>
      <c r="W51" s="40"/>
      <c r="X51" s="40"/>
      <c r="Y51" s="40"/>
      <c r="Z51" s="115"/>
      <c r="AA51" s="40"/>
      <c r="AB51" s="40"/>
      <c r="AC51" s="40"/>
      <c r="AD51" s="40"/>
      <c r="AF51" s="151"/>
      <c r="AG51" s="61" t="s">
        <v>102</v>
      </c>
      <c r="AH51" s="142">
        <f>X61</f>
        <v>11.109335000000002</v>
      </c>
      <c r="AI51" s="142">
        <f>X50</f>
        <v>11.109335000000002</v>
      </c>
      <c r="AK51" s="151"/>
      <c r="AL51" s="61" t="s">
        <v>385</v>
      </c>
      <c r="AM51" s="142">
        <f>Y61</f>
        <v>6.8379500000000011</v>
      </c>
      <c r="AN51" s="142">
        <f>Y50</f>
        <v>6.8379500000000011</v>
      </c>
    </row>
    <row r="52" spans="1:40" x14ac:dyDescent="0.25">
      <c r="A52" s="319"/>
      <c r="B52" s="26"/>
      <c r="C52" s="26"/>
      <c r="D52" s="26"/>
      <c r="E52" s="26"/>
      <c r="F52" s="156"/>
      <c r="G52" s="26"/>
      <c r="H52" s="26"/>
      <c r="I52" s="26"/>
      <c r="J52" s="26"/>
      <c r="K52" s="156"/>
      <c r="L52" s="26"/>
      <c r="M52" s="26"/>
      <c r="N52" s="26"/>
      <c r="O52" s="26"/>
      <c r="P52" s="156"/>
      <c r="Q52" s="26"/>
      <c r="R52" s="26"/>
      <c r="S52" s="26"/>
      <c r="T52" s="26"/>
      <c r="U52" s="156"/>
      <c r="V52" s="26"/>
      <c r="W52" s="26"/>
      <c r="X52" s="26"/>
      <c r="Y52" s="26"/>
      <c r="Z52" s="115"/>
      <c r="AA52" s="26"/>
      <c r="AB52" s="26"/>
      <c r="AC52" s="26"/>
      <c r="AD52" s="26"/>
      <c r="AF52" s="41">
        <v>109</v>
      </c>
      <c r="AG52" s="41"/>
      <c r="AH52" s="41" t="s">
        <v>402</v>
      </c>
      <c r="AI52" s="41" t="s">
        <v>403</v>
      </c>
      <c r="AK52" s="41">
        <v>109</v>
      </c>
      <c r="AL52" s="41"/>
      <c r="AM52" s="41" t="s">
        <v>402</v>
      </c>
      <c r="AN52" s="41" t="s">
        <v>403</v>
      </c>
    </row>
    <row r="53" spans="1:40" ht="18.75" x14ac:dyDescent="0.25">
      <c r="A53" s="319"/>
      <c r="B53" s="284" t="s">
        <v>206</v>
      </c>
      <c r="C53" s="285"/>
      <c r="D53" s="285"/>
      <c r="E53" s="286"/>
      <c r="G53" s="284" t="s">
        <v>208</v>
      </c>
      <c r="H53" s="285"/>
      <c r="I53" s="285"/>
      <c r="J53" s="286"/>
      <c r="L53" s="284" t="s">
        <v>210</v>
      </c>
      <c r="M53" s="285"/>
      <c r="N53" s="285"/>
      <c r="O53" s="286"/>
      <c r="Q53" s="284" t="s">
        <v>212</v>
      </c>
      <c r="R53" s="285"/>
      <c r="S53" s="285"/>
      <c r="T53" s="286"/>
      <c r="V53" s="284" t="s">
        <v>214</v>
      </c>
      <c r="W53" s="285"/>
      <c r="X53" s="285"/>
      <c r="Y53" s="286"/>
      <c r="AA53" s="284" t="s">
        <v>215</v>
      </c>
      <c r="AB53" s="285"/>
      <c r="AC53" s="285"/>
      <c r="AD53" s="286"/>
      <c r="AF53" s="24"/>
      <c r="AG53" s="61" t="s">
        <v>102</v>
      </c>
      <c r="AH53" s="142">
        <f>AC61</f>
        <v>17.586167499999998</v>
      </c>
      <c r="AI53" s="142">
        <f>AC50</f>
        <v>17.586167500000002</v>
      </c>
      <c r="AK53" s="24"/>
      <c r="AL53" s="61" t="s">
        <v>385</v>
      </c>
      <c r="AM53" s="142">
        <f>AD61</f>
        <v>12.673975</v>
      </c>
      <c r="AN53" s="142">
        <f>AD50</f>
        <v>12.673975</v>
      </c>
    </row>
    <row r="54" spans="1:40" ht="18" x14ac:dyDescent="0.25">
      <c r="A54" s="319"/>
      <c r="B54" s="119"/>
      <c r="C54" s="122" t="s">
        <v>140</v>
      </c>
      <c r="D54" s="122" t="s">
        <v>141</v>
      </c>
      <c r="E54" s="122" t="s">
        <v>202</v>
      </c>
      <c r="G54" s="119"/>
      <c r="H54" s="122" t="s">
        <v>140</v>
      </c>
      <c r="I54" s="122" t="s">
        <v>141</v>
      </c>
      <c r="J54" s="122" t="s">
        <v>202</v>
      </c>
      <c r="L54" s="119"/>
      <c r="M54" s="122" t="s">
        <v>140</v>
      </c>
      <c r="N54" s="122" t="s">
        <v>141</v>
      </c>
      <c r="O54" s="122" t="s">
        <v>202</v>
      </c>
      <c r="Q54" s="119"/>
      <c r="R54" s="122" t="s">
        <v>140</v>
      </c>
      <c r="S54" s="122" t="s">
        <v>141</v>
      </c>
      <c r="T54" s="122" t="s">
        <v>202</v>
      </c>
      <c r="V54" s="119"/>
      <c r="W54" s="122" t="s">
        <v>140</v>
      </c>
      <c r="X54" s="122" t="s">
        <v>141</v>
      </c>
      <c r="Y54" s="122" t="s">
        <v>202</v>
      </c>
      <c r="AA54" s="119"/>
      <c r="AB54" s="122" t="s">
        <v>140</v>
      </c>
      <c r="AC54" s="122" t="s">
        <v>141</v>
      </c>
      <c r="AD54" s="122" t="s">
        <v>202</v>
      </c>
    </row>
    <row r="55" spans="1:40" x14ac:dyDescent="0.25">
      <c r="A55" s="319"/>
      <c r="B55" s="119" t="s">
        <v>142</v>
      </c>
      <c r="C55" s="5">
        <v>0.5</v>
      </c>
      <c r="D55" s="5">
        <f>$AI$7</f>
        <v>10.056335000000001</v>
      </c>
      <c r="E55" s="5">
        <f>$AF$7</f>
        <v>6.0279500000000006</v>
      </c>
      <c r="G55" s="119" t="s">
        <v>142</v>
      </c>
      <c r="H55" s="5">
        <v>1</v>
      </c>
      <c r="I55" s="5">
        <f>$AI$7</f>
        <v>10.056335000000001</v>
      </c>
      <c r="J55" s="5">
        <f>$AF$7</f>
        <v>6.0279500000000006</v>
      </c>
      <c r="L55" s="119" t="s">
        <v>142</v>
      </c>
      <c r="M55" s="5">
        <v>1</v>
      </c>
      <c r="N55" s="5">
        <f>$AI$7</f>
        <v>10.056335000000001</v>
      </c>
      <c r="O55" s="5">
        <f>$AF$7</f>
        <v>6.0279500000000006</v>
      </c>
      <c r="Q55" s="119" t="s">
        <v>142</v>
      </c>
      <c r="R55" s="5">
        <v>1</v>
      </c>
      <c r="S55" s="5">
        <f>$AI$7</f>
        <v>10.056335000000001</v>
      </c>
      <c r="T55" s="5">
        <f>$AF$7</f>
        <v>6.0279500000000006</v>
      </c>
      <c r="V55" s="119" t="s">
        <v>142</v>
      </c>
      <c r="W55" s="5">
        <v>1</v>
      </c>
      <c r="X55" s="5">
        <f>$AI$7</f>
        <v>10.056335000000001</v>
      </c>
      <c r="Y55" s="5">
        <f>$AF$7</f>
        <v>6.0279500000000006</v>
      </c>
      <c r="AA55" s="119" t="s">
        <v>142</v>
      </c>
      <c r="AB55" s="5">
        <v>0.5</v>
      </c>
      <c r="AC55" s="5">
        <f>$AI$7</f>
        <v>10.056335000000001</v>
      </c>
      <c r="AD55" s="5">
        <f>$AF$7</f>
        <v>6.0279500000000006</v>
      </c>
    </row>
    <row r="56" spans="1:40" x14ac:dyDescent="0.25">
      <c r="A56" s="319"/>
      <c r="B56" s="119" t="s">
        <v>143</v>
      </c>
      <c r="C56" s="5">
        <v>0</v>
      </c>
      <c r="D56" s="5">
        <f>$AI$9</f>
        <v>10.560335</v>
      </c>
      <c r="E56" s="5">
        <f>$AF$9</f>
        <v>5.9079499999999996</v>
      </c>
      <c r="G56" s="119" t="s">
        <v>143</v>
      </c>
      <c r="H56" s="5">
        <v>0</v>
      </c>
      <c r="I56" s="5">
        <f>$AI$9</f>
        <v>10.560335</v>
      </c>
      <c r="J56" s="5">
        <f>$AF$9</f>
        <v>5.9079499999999996</v>
      </c>
      <c r="L56" s="119" t="s">
        <v>143</v>
      </c>
      <c r="M56" s="5">
        <v>0</v>
      </c>
      <c r="N56" s="5">
        <f>$AI$9</f>
        <v>10.560335</v>
      </c>
      <c r="O56" s="5">
        <f>$AF$9</f>
        <v>5.9079499999999996</v>
      </c>
      <c r="Q56" s="119" t="s">
        <v>143</v>
      </c>
      <c r="R56" s="5">
        <v>0</v>
      </c>
      <c r="S56" s="5">
        <f>$AI$9</f>
        <v>10.560335</v>
      </c>
      <c r="T56" s="5">
        <f>$AF$9</f>
        <v>5.9079499999999996</v>
      </c>
      <c r="V56" s="119" t="s">
        <v>143</v>
      </c>
      <c r="W56" s="5">
        <v>0</v>
      </c>
      <c r="X56" s="5">
        <f>$AI$9</f>
        <v>10.560335</v>
      </c>
      <c r="Y56" s="5">
        <f>$AF$9</f>
        <v>5.9079499999999996</v>
      </c>
      <c r="AA56" s="119" t="s">
        <v>143</v>
      </c>
      <c r="AB56" s="5">
        <v>0</v>
      </c>
      <c r="AC56" s="5">
        <f>$AI$9</f>
        <v>10.560335</v>
      </c>
      <c r="AD56" s="5">
        <f>$AF$9</f>
        <v>5.9079499999999996</v>
      </c>
    </row>
    <row r="57" spans="1:40" x14ac:dyDescent="0.25">
      <c r="A57" s="319"/>
      <c r="B57" s="119" t="s">
        <v>145</v>
      </c>
      <c r="C57" s="5">
        <v>0</v>
      </c>
      <c r="D57" s="5">
        <f>$AI$10</f>
        <v>17.240725948587251</v>
      </c>
      <c r="E57" s="5">
        <f>$AF$10</f>
        <v>11.04671226814404</v>
      </c>
      <c r="G57" s="119" t="s">
        <v>145</v>
      </c>
      <c r="H57" s="5">
        <v>0</v>
      </c>
      <c r="I57" s="5">
        <f>$AI$10</f>
        <v>17.240725948587251</v>
      </c>
      <c r="J57" s="5">
        <f>$AF$10</f>
        <v>11.04671226814404</v>
      </c>
      <c r="L57" s="119" t="s">
        <v>145</v>
      </c>
      <c r="M57" s="5">
        <v>0</v>
      </c>
      <c r="N57" s="5">
        <f>$AI$10</f>
        <v>17.240725948587251</v>
      </c>
      <c r="O57" s="5">
        <f>$AF$10</f>
        <v>11.04671226814404</v>
      </c>
      <c r="Q57" s="119" t="s">
        <v>145</v>
      </c>
      <c r="R57" s="5">
        <v>0</v>
      </c>
      <c r="S57" s="5">
        <f>$AI$10</f>
        <v>17.240725948587251</v>
      </c>
      <c r="T57" s="5">
        <f>$AF$10</f>
        <v>11.04671226814404</v>
      </c>
      <c r="V57" s="119" t="s">
        <v>145</v>
      </c>
      <c r="W57" s="5">
        <v>0</v>
      </c>
      <c r="X57" s="5">
        <f>$AI$10</f>
        <v>17.240725948587251</v>
      </c>
      <c r="Y57" s="5">
        <f>$AF$10</f>
        <v>11.04671226814404</v>
      </c>
      <c r="AA57" s="119" t="s">
        <v>145</v>
      </c>
      <c r="AB57" s="5">
        <v>0</v>
      </c>
      <c r="AC57" s="5">
        <f>$AI$10</f>
        <v>17.240725948587251</v>
      </c>
      <c r="AD57" s="5">
        <f>$AF$10</f>
        <v>11.04671226814404</v>
      </c>
    </row>
    <row r="58" spans="1:40" x14ac:dyDescent="0.25">
      <c r="A58" s="319"/>
      <c r="B58" s="167" t="s">
        <v>146</v>
      </c>
      <c r="C58" s="168"/>
      <c r="D58" s="5">
        <f>$AG$11</f>
        <v>7.8000000000000007</v>
      </c>
      <c r="E58" s="5">
        <f>$AH$10</f>
        <v>6</v>
      </c>
      <c r="G58" s="43" t="s">
        <v>146</v>
      </c>
      <c r="H58" s="44"/>
      <c r="I58" s="5">
        <v>0</v>
      </c>
      <c r="J58" s="5">
        <v>0</v>
      </c>
      <c r="L58" s="43" t="s">
        <v>146</v>
      </c>
      <c r="M58" s="44"/>
      <c r="N58" s="5">
        <f>$AG$11</f>
        <v>7.8000000000000007</v>
      </c>
      <c r="O58" s="5">
        <f>$AH$10</f>
        <v>6</v>
      </c>
      <c r="Q58" s="167" t="s">
        <v>146</v>
      </c>
      <c r="R58" s="168"/>
      <c r="S58" s="5">
        <v>0</v>
      </c>
      <c r="T58" s="5">
        <v>0</v>
      </c>
      <c r="V58" s="167" t="s">
        <v>146</v>
      </c>
      <c r="W58" s="168"/>
      <c r="X58" s="5">
        <v>0</v>
      </c>
      <c r="Y58" s="5">
        <v>0</v>
      </c>
      <c r="AA58" s="167" t="s">
        <v>146</v>
      </c>
      <c r="AB58" s="168"/>
      <c r="AC58" s="5">
        <v>7.8</v>
      </c>
      <c r="AD58" s="5">
        <v>6</v>
      </c>
    </row>
    <row r="59" spans="1:40" x14ac:dyDescent="0.25">
      <c r="A59" s="319"/>
      <c r="B59" s="273"/>
      <c r="C59" s="274"/>
      <c r="D59" s="5">
        <f>C55*D55+C56*D56+C57*D57+D58</f>
        <v>12.828167500000001</v>
      </c>
      <c r="E59" s="5">
        <f>C55*E55+C56*E56+C57*E57+E58</f>
        <v>9.0139750000000003</v>
      </c>
      <c r="G59" s="45"/>
      <c r="H59" s="46"/>
      <c r="I59" s="5">
        <f>H55*I55+H56*I56+H57*I57+I58</f>
        <v>10.056335000000001</v>
      </c>
      <c r="J59" s="5">
        <f>H55*J55+H56*J56+H57*J57+J58</f>
        <v>6.0279500000000006</v>
      </c>
      <c r="L59" s="45"/>
      <c r="M59" s="46"/>
      <c r="N59" s="5">
        <f>M55*N55+M56*N56+M57*N57+N58</f>
        <v>17.856335000000001</v>
      </c>
      <c r="O59" s="5">
        <f>M55*O55+M56*O56+M57*O57+O58</f>
        <v>12.027950000000001</v>
      </c>
      <c r="Q59" s="273"/>
      <c r="R59" s="274"/>
      <c r="S59" s="5">
        <f>R55*S55+R56*S56+R57*S57+S58</f>
        <v>10.056335000000001</v>
      </c>
      <c r="T59" s="5">
        <f>R55*T55+R56*T56+R57*T57+T58</f>
        <v>6.0279500000000006</v>
      </c>
      <c r="V59" s="273"/>
      <c r="W59" s="274"/>
      <c r="X59" s="5">
        <f>W55*X55+W56*X56+W57*X57+X58</f>
        <v>10.056335000000001</v>
      </c>
      <c r="Y59" s="5">
        <f>W55*Y55+W56*Y56+W57*Y57+Y58</f>
        <v>6.0279500000000006</v>
      </c>
      <c r="AA59" s="273"/>
      <c r="AB59" s="274"/>
      <c r="AC59" s="5">
        <f>AB55*AC55+AB56*AC56+AB57*AC57+AC58</f>
        <v>12.828167499999999</v>
      </c>
      <c r="AD59" s="5">
        <f>AB55*AD55+AB56*AD56+AB57*AD57+AD58</f>
        <v>9.0139750000000003</v>
      </c>
    </row>
    <row r="60" spans="1:40" x14ac:dyDescent="0.25">
      <c r="A60" s="319"/>
      <c r="B60" s="179" t="s">
        <v>201</v>
      </c>
      <c r="C60" s="181"/>
      <c r="D60" s="144">
        <f>E60*1.3</f>
        <v>4.758</v>
      </c>
      <c r="E60" s="5">
        <f>(0.3*E3*1*25)-0.3*2.8</f>
        <v>3.66</v>
      </c>
      <c r="G60" s="179" t="s">
        <v>201</v>
      </c>
      <c r="H60" s="181"/>
      <c r="I60" s="144">
        <f>J60*1.3</f>
        <v>1.0530000000000002</v>
      </c>
      <c r="J60" s="5">
        <f>(0.3*I3*1*25)-0.3*2.8</f>
        <v>0.81000000000000016</v>
      </c>
      <c r="L60" s="179" t="s">
        <v>201</v>
      </c>
      <c r="M60" s="181"/>
      <c r="N60" s="144">
        <f>O60*1.3</f>
        <v>4.758</v>
      </c>
      <c r="O60" s="5">
        <f>(0.3*E3*1*25)-0.3*2.8</f>
        <v>3.66</v>
      </c>
      <c r="Q60" s="179" t="s">
        <v>201</v>
      </c>
      <c r="R60" s="181"/>
      <c r="S60" s="144">
        <f>T60*1.3</f>
        <v>4.758</v>
      </c>
      <c r="T60" s="5">
        <f>(0.3*E3*1*25)-0.3*2.8</f>
        <v>3.66</v>
      </c>
      <c r="V60" s="179" t="s">
        <v>201</v>
      </c>
      <c r="W60" s="181"/>
      <c r="X60" s="144">
        <f>Y60*1.3</f>
        <v>1.0530000000000002</v>
      </c>
      <c r="Y60" s="5">
        <f>(0.3*I3*1*25)-0.3*2.8</f>
        <v>0.81000000000000016</v>
      </c>
      <c r="AA60" s="179" t="s">
        <v>201</v>
      </c>
      <c r="AB60" s="181"/>
      <c r="AC60" s="144">
        <f>AD60*1.3</f>
        <v>4.758</v>
      </c>
      <c r="AD60" s="5">
        <f>(0.3*E3*1*25)-0.3*2.8</f>
        <v>3.66</v>
      </c>
    </row>
    <row r="61" spans="1:40" x14ac:dyDescent="0.25">
      <c r="A61" s="319"/>
      <c r="B61" s="179" t="s">
        <v>109</v>
      </c>
      <c r="C61" s="181"/>
      <c r="D61" s="5">
        <f>SUM(D59:D60)</f>
        <v>17.586167500000002</v>
      </c>
      <c r="E61" s="5">
        <f>SUM(E59:E60)</f>
        <v>12.673975</v>
      </c>
      <c r="G61" s="43" t="s">
        <v>109</v>
      </c>
      <c r="H61" s="44"/>
      <c r="I61" s="5">
        <f>SUM(I59:I60)</f>
        <v>11.109335000000002</v>
      </c>
      <c r="J61" s="5">
        <f>SUM(J59:J60)</f>
        <v>6.8379500000000011</v>
      </c>
      <c r="L61" s="43" t="s">
        <v>109</v>
      </c>
      <c r="M61" s="44"/>
      <c r="N61" s="5">
        <f>SUM(N59:N60)</f>
        <v>22.614335000000001</v>
      </c>
      <c r="O61" s="5">
        <f>SUM(O59:O60)</f>
        <v>15.687950000000001</v>
      </c>
      <c r="Q61" s="179" t="s">
        <v>109</v>
      </c>
      <c r="R61" s="181"/>
      <c r="S61" s="5">
        <f>SUM(S59:S60)</f>
        <v>14.814335</v>
      </c>
      <c r="T61" s="5">
        <f>SUM(T59:T60)</f>
        <v>9.6879500000000007</v>
      </c>
      <c r="V61" s="179" t="s">
        <v>109</v>
      </c>
      <c r="W61" s="181"/>
      <c r="X61" s="5">
        <f>SUM(X59:X60)</f>
        <v>11.109335000000002</v>
      </c>
      <c r="Y61" s="5">
        <f>SUM(Y59:Y60)</f>
        <v>6.8379500000000011</v>
      </c>
      <c r="AA61" s="179" t="s">
        <v>109</v>
      </c>
      <c r="AB61" s="181"/>
      <c r="AC61" s="5">
        <f>SUM(AC59:AC60)</f>
        <v>17.586167499999998</v>
      </c>
      <c r="AD61" s="5">
        <f>SUM(AD59:AD60)</f>
        <v>12.673975</v>
      </c>
    </row>
    <row r="62" spans="1:40" x14ac:dyDescent="0.25">
      <c r="A62" s="12"/>
    </row>
    <row r="63" spans="1:40" x14ac:dyDescent="0.25">
      <c r="A63" s="12"/>
    </row>
    <row r="64" spans="1:40" x14ac:dyDescent="0.25">
      <c r="A64" s="12"/>
      <c r="AH64" s="142"/>
    </row>
    <row r="65" spans="1:1" x14ac:dyDescent="0.25">
      <c r="A65" s="12"/>
    </row>
    <row r="66" spans="1:1" x14ac:dyDescent="0.25">
      <c r="A66" s="12"/>
    </row>
    <row r="67" spans="1:1" x14ac:dyDescent="0.25">
      <c r="A67" s="12"/>
    </row>
    <row r="68" spans="1:1" x14ac:dyDescent="0.25">
      <c r="A68" s="12"/>
    </row>
    <row r="69" spans="1:1" x14ac:dyDescent="0.25">
      <c r="A69" s="12"/>
    </row>
    <row r="70" spans="1:1" x14ac:dyDescent="0.25">
      <c r="A70" s="12"/>
    </row>
    <row r="71" spans="1:1" x14ac:dyDescent="0.25">
      <c r="A71" s="12"/>
    </row>
  </sheetData>
  <mergeCells count="158">
    <mergeCell ref="C2:E2"/>
    <mergeCell ref="G2:I2"/>
    <mergeCell ref="C3:D3"/>
    <mergeCell ref="G3:H3"/>
    <mergeCell ref="B6:Y7"/>
    <mergeCell ref="B8:E8"/>
    <mergeCell ref="G8:J8"/>
    <mergeCell ref="L8:O8"/>
    <mergeCell ref="Q8:T8"/>
    <mergeCell ref="V8:Y8"/>
    <mergeCell ref="B13:C13"/>
    <mergeCell ref="G13:H13"/>
    <mergeCell ref="L13:M13"/>
    <mergeCell ref="Q13:R13"/>
    <mergeCell ref="V13:W13"/>
    <mergeCell ref="B14:C14"/>
    <mergeCell ref="G14:H14"/>
    <mergeCell ref="L14:M14"/>
    <mergeCell ref="Q14:R14"/>
    <mergeCell ref="V14:W14"/>
    <mergeCell ref="B15:C15"/>
    <mergeCell ref="G15:H15"/>
    <mergeCell ref="L15:M15"/>
    <mergeCell ref="Q15:R15"/>
    <mergeCell ref="V15:W15"/>
    <mergeCell ref="B16:C16"/>
    <mergeCell ref="G16:H16"/>
    <mergeCell ref="L16:M16"/>
    <mergeCell ref="Q16:R16"/>
    <mergeCell ref="V16:W16"/>
    <mergeCell ref="B24:C24"/>
    <mergeCell ref="G24:H24"/>
    <mergeCell ref="L24:M24"/>
    <mergeCell ref="Q24:R24"/>
    <mergeCell ref="V24:W24"/>
    <mergeCell ref="B19:E19"/>
    <mergeCell ref="G19:J19"/>
    <mergeCell ref="L19:O19"/>
    <mergeCell ref="Q19:T19"/>
    <mergeCell ref="V19:Y19"/>
    <mergeCell ref="B25:C25"/>
    <mergeCell ref="G25:H25"/>
    <mergeCell ref="L25:M25"/>
    <mergeCell ref="Q25:R25"/>
    <mergeCell ref="V25:W25"/>
    <mergeCell ref="B26:C26"/>
    <mergeCell ref="G26:H26"/>
    <mergeCell ref="L26:M26"/>
    <mergeCell ref="Q26:R26"/>
    <mergeCell ref="V26:W26"/>
    <mergeCell ref="B27:C27"/>
    <mergeCell ref="G27:H27"/>
    <mergeCell ref="L27:M27"/>
    <mergeCell ref="Q27:R27"/>
    <mergeCell ref="V27:W27"/>
    <mergeCell ref="B29:E29"/>
    <mergeCell ref="G29:J29"/>
    <mergeCell ref="L29:O29"/>
    <mergeCell ref="Q29:T29"/>
    <mergeCell ref="V29:Y29"/>
    <mergeCell ref="B36:C36"/>
    <mergeCell ref="G36:H36"/>
    <mergeCell ref="L36:M36"/>
    <mergeCell ref="Q36:R36"/>
    <mergeCell ref="V36:W36"/>
    <mergeCell ref="AJ29:AP29"/>
    <mergeCell ref="AL30:AP30"/>
    <mergeCell ref="B34:C34"/>
    <mergeCell ref="G34:H34"/>
    <mergeCell ref="L34:M34"/>
    <mergeCell ref="Q34:R34"/>
    <mergeCell ref="V34:W34"/>
    <mergeCell ref="AD30:AH30"/>
    <mergeCell ref="AB29:AH29"/>
    <mergeCell ref="A43:A61"/>
    <mergeCell ref="B49:C49"/>
    <mergeCell ref="G49:H49"/>
    <mergeCell ref="L49:M49"/>
    <mergeCell ref="Q49:R49"/>
    <mergeCell ref="V49:W49"/>
    <mergeCell ref="AA49:AB49"/>
    <mergeCell ref="B53:E53"/>
    <mergeCell ref="B40:AD41"/>
    <mergeCell ref="A41:A42"/>
    <mergeCell ref="B42:E42"/>
    <mergeCell ref="G42:J42"/>
    <mergeCell ref="L42:O42"/>
    <mergeCell ref="Q42:T42"/>
    <mergeCell ref="K2:M2"/>
    <mergeCell ref="K3:L3"/>
    <mergeCell ref="B59:C59"/>
    <mergeCell ref="Q59:R59"/>
    <mergeCell ref="V59:W59"/>
    <mergeCell ref="AA59:AB59"/>
    <mergeCell ref="B60:C60"/>
    <mergeCell ref="G60:H60"/>
    <mergeCell ref="L60:M60"/>
    <mergeCell ref="Q60:R60"/>
    <mergeCell ref="V60:W60"/>
    <mergeCell ref="AA60:AB60"/>
    <mergeCell ref="G53:J53"/>
    <mergeCell ref="L53:O53"/>
    <mergeCell ref="Q53:T53"/>
    <mergeCell ref="V53:Y53"/>
    <mergeCell ref="AA53:AD53"/>
    <mergeCell ref="B58:C58"/>
    <mergeCell ref="Q58:R58"/>
    <mergeCell ref="V58:W58"/>
    <mergeCell ref="AA58:AB58"/>
    <mergeCell ref="V42:Y42"/>
    <mergeCell ref="AA42:AD42"/>
    <mergeCell ref="B37:C37"/>
    <mergeCell ref="AA6:AB6"/>
    <mergeCell ref="AK6:AQ6"/>
    <mergeCell ref="AA7:AB7"/>
    <mergeCell ref="AK7:AN7"/>
    <mergeCell ref="AA8:AB8"/>
    <mergeCell ref="AK8:AN8"/>
    <mergeCell ref="B61:C61"/>
    <mergeCell ref="Q61:R61"/>
    <mergeCell ref="V61:W61"/>
    <mergeCell ref="AA61:AB61"/>
    <mergeCell ref="AF40:AI40"/>
    <mergeCell ref="AK40:AN40"/>
    <mergeCell ref="AH41:AI41"/>
    <mergeCell ref="AM41:AN41"/>
    <mergeCell ref="G37:H37"/>
    <mergeCell ref="L37:M37"/>
    <mergeCell ref="Q37:R37"/>
    <mergeCell ref="V37:W37"/>
    <mergeCell ref="B38:Y38"/>
    <mergeCell ref="B35:C35"/>
    <mergeCell ref="G35:H35"/>
    <mergeCell ref="L35:M35"/>
    <mergeCell ref="Q35:R35"/>
    <mergeCell ref="V35:W35"/>
    <mergeCell ref="AA12:AB12"/>
    <mergeCell ref="AK12:AN12"/>
    <mergeCell ref="AA13:AB13"/>
    <mergeCell ref="AK13:AN13"/>
    <mergeCell ref="AA14:AB14"/>
    <mergeCell ref="AK14:AN14"/>
    <mergeCell ref="AA9:AB9"/>
    <mergeCell ref="AK9:AN9"/>
    <mergeCell ref="AA10:AB10"/>
    <mergeCell ref="AK10:AN10"/>
    <mergeCell ref="AA11:AB11"/>
    <mergeCell ref="AK11:AN11"/>
    <mergeCell ref="AK19:AN19"/>
    <mergeCell ref="AA20:AC20"/>
    <mergeCell ref="AA21:AC21"/>
    <mergeCell ref="AA15:AB15"/>
    <mergeCell ref="AK15:AN15"/>
    <mergeCell ref="AK16:AN16"/>
    <mergeCell ref="AK17:AN17"/>
    <mergeCell ref="AA18:AD18"/>
    <mergeCell ref="AK18:AN18"/>
    <mergeCell ref="AA19:AC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Q71"/>
  <sheetViews>
    <sheetView workbookViewId="0">
      <selection activeCell="C32" sqref="C32"/>
    </sheetView>
  </sheetViews>
  <sheetFormatPr defaultRowHeight="15" x14ac:dyDescent="0.25"/>
  <cols>
    <col min="1" max="1" width="3.42578125" style="69" customWidth="1"/>
    <col min="2" max="2" width="9.140625" style="69"/>
    <col min="3" max="3" width="9.140625" style="69" customWidth="1"/>
    <col min="4" max="16384" width="9.140625" style="69"/>
  </cols>
  <sheetData>
    <row r="2" spans="1:43" x14ac:dyDescent="0.25">
      <c r="C2" s="316" t="s">
        <v>363</v>
      </c>
      <c r="D2" s="316"/>
      <c r="E2" s="316"/>
      <c r="G2" s="316" t="s">
        <v>364</v>
      </c>
      <c r="H2" s="316"/>
      <c r="I2" s="316"/>
      <c r="K2" s="316" t="s">
        <v>361</v>
      </c>
      <c r="L2" s="316"/>
      <c r="M2" s="316"/>
    </row>
    <row r="3" spans="1:43" x14ac:dyDescent="0.25">
      <c r="C3" s="307" t="s">
        <v>365</v>
      </c>
      <c r="D3" s="307"/>
      <c r="E3" s="58">
        <v>0.6</v>
      </c>
      <c r="G3" s="307" t="s">
        <v>365</v>
      </c>
      <c r="H3" s="307"/>
      <c r="I3" s="58">
        <v>0.22</v>
      </c>
      <c r="K3" s="307" t="s">
        <v>362</v>
      </c>
      <c r="L3" s="307"/>
      <c r="M3" s="58">
        <v>2.68</v>
      </c>
    </row>
    <row r="6" spans="1:43" ht="18.75" customHeight="1" x14ac:dyDescent="0.25">
      <c r="A6" s="47"/>
      <c r="B6" s="267" t="s">
        <v>216</v>
      </c>
      <c r="C6" s="333"/>
      <c r="D6" s="333"/>
      <c r="E6" s="333"/>
      <c r="F6" s="333"/>
      <c r="G6" s="333"/>
      <c r="H6" s="333"/>
      <c r="I6" s="333"/>
      <c r="J6" s="333"/>
      <c r="K6" s="333"/>
      <c r="L6" s="333"/>
      <c r="M6" s="333"/>
      <c r="N6" s="333"/>
      <c r="O6" s="333"/>
      <c r="P6" s="333"/>
      <c r="Q6" s="333"/>
      <c r="R6" s="333"/>
      <c r="S6" s="333"/>
      <c r="T6" s="333"/>
      <c r="U6" s="333"/>
      <c r="V6" s="333"/>
      <c r="W6" s="333"/>
      <c r="X6" s="333"/>
      <c r="Y6" s="334"/>
      <c r="AA6" s="167" t="s">
        <v>116</v>
      </c>
      <c r="AB6" s="168"/>
      <c r="AC6" s="122" t="s">
        <v>98</v>
      </c>
      <c r="AD6" s="122" t="s">
        <v>99</v>
      </c>
      <c r="AE6" s="122" t="s">
        <v>100</v>
      </c>
      <c r="AF6" s="122" t="s">
        <v>101</v>
      </c>
      <c r="AG6" s="122" t="s">
        <v>244</v>
      </c>
      <c r="AH6" s="122" t="s">
        <v>245</v>
      </c>
      <c r="AI6" s="122" t="s">
        <v>102</v>
      </c>
      <c r="AJ6"/>
      <c r="AK6" s="289" t="s">
        <v>262</v>
      </c>
      <c r="AL6" s="290"/>
      <c r="AM6" s="290"/>
      <c r="AN6" s="290"/>
      <c r="AO6" s="290"/>
      <c r="AP6" s="290"/>
      <c r="AQ6" s="291"/>
    </row>
    <row r="7" spans="1:43" ht="15" customHeight="1" x14ac:dyDescent="0.25">
      <c r="A7" s="48"/>
      <c r="B7" s="335"/>
      <c r="C7" s="336"/>
      <c r="D7" s="336"/>
      <c r="E7" s="336"/>
      <c r="F7" s="336"/>
      <c r="G7" s="336"/>
      <c r="H7" s="336"/>
      <c r="I7" s="336"/>
      <c r="J7" s="336"/>
      <c r="K7" s="336"/>
      <c r="L7" s="336"/>
      <c r="M7" s="336"/>
      <c r="N7" s="336"/>
      <c r="O7" s="336"/>
      <c r="P7" s="336"/>
      <c r="Q7" s="336"/>
      <c r="R7" s="336"/>
      <c r="S7" s="336"/>
      <c r="T7" s="336"/>
      <c r="U7" s="336"/>
      <c r="V7" s="336"/>
      <c r="W7" s="336"/>
      <c r="X7" s="336"/>
      <c r="Y7" s="337"/>
      <c r="AA7" s="345" t="s">
        <v>117</v>
      </c>
      <c r="AB7" s="346"/>
      <c r="AC7" s="68">
        <f>'Carichi unitari'!J25</f>
        <v>3.8279500000000004</v>
      </c>
      <c r="AD7" s="68">
        <v>1.6</v>
      </c>
      <c r="AE7" s="68">
        <v>2</v>
      </c>
      <c r="AF7" s="68">
        <f>AC7+AD7+AQ8*AE7</f>
        <v>6.0279500000000006</v>
      </c>
      <c r="AG7" s="68">
        <f>(AC7+AD7)*$AD$19</f>
        <v>7.0563350000000016</v>
      </c>
      <c r="AH7" s="68">
        <f>AE7*AD$20</f>
        <v>3</v>
      </c>
      <c r="AI7" s="68">
        <f>$AG$7+$AH$7</f>
        <v>10.056335000000001</v>
      </c>
      <c r="AJ7"/>
      <c r="AK7" s="292"/>
      <c r="AL7" s="347"/>
      <c r="AM7" s="347"/>
      <c r="AN7" s="293"/>
      <c r="AO7" s="61" t="s">
        <v>14</v>
      </c>
      <c r="AP7" s="61" t="s">
        <v>16</v>
      </c>
      <c r="AQ7" s="61" t="s">
        <v>15</v>
      </c>
    </row>
    <row r="8" spans="1:43" ht="18.75" x14ac:dyDescent="0.25">
      <c r="A8" s="49"/>
      <c r="B8" s="284" t="s">
        <v>203</v>
      </c>
      <c r="C8" s="285"/>
      <c r="D8" s="285"/>
      <c r="E8" s="286"/>
      <c r="G8" s="275" t="s">
        <v>122</v>
      </c>
      <c r="H8" s="276"/>
      <c r="I8" s="276"/>
      <c r="J8" s="277"/>
      <c r="L8" s="275" t="s">
        <v>124</v>
      </c>
      <c r="M8" s="276"/>
      <c r="N8" s="276"/>
      <c r="O8" s="277"/>
      <c r="Q8" s="275" t="s">
        <v>127</v>
      </c>
      <c r="R8" s="276"/>
      <c r="S8" s="276"/>
      <c r="T8" s="277"/>
      <c r="V8" s="275" t="s">
        <v>132</v>
      </c>
      <c r="W8" s="276"/>
      <c r="X8" s="276"/>
      <c r="Y8" s="277"/>
      <c r="AA8" s="167" t="s">
        <v>106</v>
      </c>
      <c r="AB8" s="168"/>
      <c r="AC8" s="5">
        <f>'Carichi unitari'!J26</f>
        <v>3.09795</v>
      </c>
      <c r="AD8" s="68"/>
      <c r="AE8" s="5">
        <v>0.5</v>
      </c>
      <c r="AF8" s="5">
        <f>AC8+AQ15*AE8</f>
        <v>3.09795</v>
      </c>
      <c r="AG8" s="5">
        <f>AC8*$AD$19</f>
        <v>4.0273349999999999</v>
      </c>
      <c r="AH8" s="5">
        <f>AE8*AD$20</f>
        <v>0.75</v>
      </c>
      <c r="AI8" s="5">
        <f>$AG$8+$AH$8</f>
        <v>4.7773349999999999</v>
      </c>
      <c r="AJ8"/>
      <c r="AK8" s="294" t="s">
        <v>18</v>
      </c>
      <c r="AL8" s="344"/>
      <c r="AM8" s="344"/>
      <c r="AN8" s="295"/>
      <c r="AO8" s="52">
        <v>0.7</v>
      </c>
      <c r="AP8" s="52">
        <v>0.5</v>
      </c>
      <c r="AQ8" s="52">
        <v>0.3</v>
      </c>
    </row>
    <row r="9" spans="1:43" ht="18" x14ac:dyDescent="0.25">
      <c r="A9" s="12"/>
      <c r="B9" s="119"/>
      <c r="C9" s="122" t="s">
        <v>140</v>
      </c>
      <c r="D9" s="122" t="s">
        <v>141</v>
      </c>
      <c r="E9" s="122" t="s">
        <v>202</v>
      </c>
      <c r="G9" s="119"/>
      <c r="H9" s="122" t="s">
        <v>140</v>
      </c>
      <c r="I9" s="122" t="s">
        <v>141</v>
      </c>
      <c r="J9" s="122" t="s">
        <v>202</v>
      </c>
      <c r="L9" s="119"/>
      <c r="M9" s="122" t="s">
        <v>140</v>
      </c>
      <c r="N9" s="122" t="s">
        <v>141</v>
      </c>
      <c r="O9" s="122" t="s">
        <v>202</v>
      </c>
      <c r="Q9" s="119"/>
      <c r="R9" s="122" t="s">
        <v>140</v>
      </c>
      <c r="S9" s="122" t="s">
        <v>141</v>
      </c>
      <c r="T9" s="122" t="s">
        <v>202</v>
      </c>
      <c r="V9" s="119"/>
      <c r="W9" s="122" t="s">
        <v>140</v>
      </c>
      <c r="X9" s="122" t="s">
        <v>141</v>
      </c>
      <c r="Y9" s="122" t="s">
        <v>202</v>
      </c>
      <c r="AA9" s="167" t="s">
        <v>118</v>
      </c>
      <c r="AB9" s="168"/>
      <c r="AC9" s="5">
        <f>AC8</f>
        <v>3.09795</v>
      </c>
      <c r="AD9" s="5"/>
      <c r="AE9" s="5">
        <v>0.5</v>
      </c>
      <c r="AF9" s="5">
        <f>AC9+AQ$10*AE9</f>
        <v>3.3979499999999998</v>
      </c>
      <c r="AG9" s="5">
        <f t="shared" ref="AG9:AG15" si="0">AC9*$AD$19</f>
        <v>4.0273349999999999</v>
      </c>
      <c r="AH9" s="5">
        <f>AE9*AD$20</f>
        <v>0.75</v>
      </c>
      <c r="AI9" s="5">
        <f>$AG$9+$AH$9</f>
        <v>4.7773349999999999</v>
      </c>
      <c r="AJ9"/>
      <c r="AK9" s="294" t="s">
        <v>17</v>
      </c>
      <c r="AL9" s="344"/>
      <c r="AM9" s="344"/>
      <c r="AN9" s="295"/>
      <c r="AO9" s="52">
        <v>0.7</v>
      </c>
      <c r="AP9" s="52">
        <v>0.5</v>
      </c>
      <c r="AQ9" s="52">
        <v>0.3</v>
      </c>
    </row>
    <row r="10" spans="1:43" x14ac:dyDescent="0.25">
      <c r="A10" s="12"/>
      <c r="B10" s="119" t="s">
        <v>142</v>
      </c>
      <c r="C10" s="5">
        <f>(5.3/2)</f>
        <v>2.65</v>
      </c>
      <c r="D10" s="5">
        <f>$AI$8</f>
        <v>4.7773349999999999</v>
      </c>
      <c r="E10" s="5">
        <f>$AF$8</f>
        <v>3.09795</v>
      </c>
      <c r="G10" s="119" t="s">
        <v>142</v>
      </c>
      <c r="H10" s="5">
        <f>(5.3/2)</f>
        <v>2.65</v>
      </c>
      <c r="I10" s="5">
        <f>$AI$8</f>
        <v>4.7773349999999999</v>
      </c>
      <c r="J10" s="5">
        <f>$AF$8</f>
        <v>3.09795</v>
      </c>
      <c r="L10" s="119" t="s">
        <v>142</v>
      </c>
      <c r="M10" s="5">
        <v>0</v>
      </c>
      <c r="N10" s="5">
        <f>$AI$8</f>
        <v>4.7773349999999999</v>
      </c>
      <c r="O10" s="5">
        <f>$AF$8</f>
        <v>3.09795</v>
      </c>
      <c r="Q10" s="119" t="s">
        <v>142</v>
      </c>
      <c r="R10" s="5">
        <f>(5.3/2)</f>
        <v>2.65</v>
      </c>
      <c r="S10" s="5">
        <f>$AI$8</f>
        <v>4.7773349999999999</v>
      </c>
      <c r="T10" s="5">
        <f>$AF$8</f>
        <v>3.09795</v>
      </c>
      <c r="V10" s="119" t="s">
        <v>142</v>
      </c>
      <c r="W10" s="5">
        <f>(5.3/2)</f>
        <v>2.65</v>
      </c>
      <c r="X10" s="5">
        <f>$AI$8</f>
        <v>4.7773349999999999</v>
      </c>
      <c r="Y10" s="5">
        <f>$AF$8</f>
        <v>3.09795</v>
      </c>
      <c r="AA10" s="167" t="s">
        <v>103</v>
      </c>
      <c r="AB10" s="168"/>
      <c r="AC10" s="5">
        <f>'Carichi unitari'!J28</f>
        <v>8.6467122681440394</v>
      </c>
      <c r="AD10" s="5"/>
      <c r="AE10" s="5">
        <v>4</v>
      </c>
      <c r="AF10" s="5">
        <f>AC10+AQ$10*AE10</f>
        <v>11.04671226814404</v>
      </c>
      <c r="AG10" s="5">
        <f t="shared" si="0"/>
        <v>11.240725948587251</v>
      </c>
      <c r="AH10" s="5">
        <f>AE10*AD$20</f>
        <v>6</v>
      </c>
      <c r="AI10" s="5">
        <f>$AG$10+$AH$10</f>
        <v>17.240725948587251</v>
      </c>
      <c r="AJ10"/>
      <c r="AK10" s="294" t="s">
        <v>19</v>
      </c>
      <c r="AL10" s="344"/>
      <c r="AM10" s="344"/>
      <c r="AN10" s="295"/>
      <c r="AO10" s="52">
        <v>0.7</v>
      </c>
      <c r="AP10" s="52">
        <v>0.7</v>
      </c>
      <c r="AQ10" s="52">
        <v>0.6</v>
      </c>
    </row>
    <row r="11" spans="1:43" x14ac:dyDescent="0.25">
      <c r="A11" s="12"/>
      <c r="B11" s="119" t="s">
        <v>143</v>
      </c>
      <c r="C11" s="5">
        <f>1.5</f>
        <v>1.5</v>
      </c>
      <c r="D11" s="5">
        <f>$AI$9</f>
        <v>4.7773349999999999</v>
      </c>
      <c r="E11" s="5">
        <f>$AF$9</f>
        <v>3.3979499999999998</v>
      </c>
      <c r="G11" s="119" t="s">
        <v>143</v>
      </c>
      <c r="H11" s="5">
        <f>1.5</f>
        <v>1.5</v>
      </c>
      <c r="I11" s="5">
        <f>$AI$9</f>
        <v>4.7773349999999999</v>
      </c>
      <c r="J11" s="5">
        <f>$AF$9</f>
        <v>3.3979499999999998</v>
      </c>
      <c r="L11" s="119" t="s">
        <v>143</v>
      </c>
      <c r="M11" s="5">
        <f>1.5</f>
        <v>1.5</v>
      </c>
      <c r="N11" s="5">
        <f>$AI$9</f>
        <v>4.7773349999999999</v>
      </c>
      <c r="O11" s="5">
        <f>$AF$9</f>
        <v>3.3979499999999998</v>
      </c>
      <c r="Q11" s="119" t="s">
        <v>143</v>
      </c>
      <c r="R11" s="5">
        <f>1.5</f>
        <v>1.5</v>
      </c>
      <c r="S11" s="5">
        <f>$AI$9</f>
        <v>4.7773349999999999</v>
      </c>
      <c r="T11" s="5">
        <f>$AF$9</f>
        <v>3.3979499999999998</v>
      </c>
      <c r="V11" s="119" t="s">
        <v>143</v>
      </c>
      <c r="W11" s="5">
        <f>1.5</f>
        <v>1.5</v>
      </c>
      <c r="X11" s="5">
        <f>$AI$9</f>
        <v>4.7773349999999999</v>
      </c>
      <c r="Y11" s="5">
        <f>$AF$9</f>
        <v>3.3979499999999998</v>
      </c>
      <c r="AA11" s="167" t="s">
        <v>104</v>
      </c>
      <c r="AB11" s="168"/>
      <c r="AC11" s="5">
        <f>'Carichi unitari'!J29</f>
        <v>6</v>
      </c>
      <c r="AD11" s="5"/>
      <c r="AE11" s="5"/>
      <c r="AF11" s="5">
        <f>AC11</f>
        <v>6</v>
      </c>
      <c r="AG11" s="5">
        <f t="shared" si="0"/>
        <v>7.8000000000000007</v>
      </c>
      <c r="AH11" s="5"/>
      <c r="AI11" s="5">
        <f>$AG$11</f>
        <v>7.8000000000000007</v>
      </c>
      <c r="AJ11"/>
      <c r="AK11" s="294" t="s">
        <v>20</v>
      </c>
      <c r="AL11" s="344"/>
      <c r="AM11" s="344"/>
      <c r="AN11" s="295"/>
      <c r="AO11" s="52">
        <v>0.7</v>
      </c>
      <c r="AP11" s="52">
        <v>0.7</v>
      </c>
      <c r="AQ11" s="52">
        <v>0.6</v>
      </c>
    </row>
    <row r="12" spans="1:43" x14ac:dyDescent="0.25">
      <c r="A12" s="12"/>
      <c r="B12" s="119" t="s">
        <v>145</v>
      </c>
      <c r="C12" s="5">
        <v>0</v>
      </c>
      <c r="D12" s="5">
        <f>$AI$10</f>
        <v>17.240725948587251</v>
      </c>
      <c r="E12" s="5">
        <f>$AF$10</f>
        <v>11.04671226814404</v>
      </c>
      <c r="G12" s="119" t="s">
        <v>145</v>
      </c>
      <c r="H12" s="5">
        <v>0</v>
      </c>
      <c r="I12" s="5">
        <f>$AI$10</f>
        <v>17.240725948587251</v>
      </c>
      <c r="J12" s="5">
        <f>$AF$10</f>
        <v>11.04671226814404</v>
      </c>
      <c r="L12" s="119" t="s">
        <v>145</v>
      </c>
      <c r="M12" s="5">
        <v>0</v>
      </c>
      <c r="N12" s="5">
        <f>$AI$10</f>
        <v>17.240725948587251</v>
      </c>
      <c r="O12" s="5">
        <f>$AF$10</f>
        <v>11.04671226814404</v>
      </c>
      <c r="Q12" s="119" t="s">
        <v>145</v>
      </c>
      <c r="R12" s="5">
        <v>0</v>
      </c>
      <c r="S12" s="5">
        <f>$AI$10</f>
        <v>17.240725948587251</v>
      </c>
      <c r="T12" s="5">
        <f>$AF$10</f>
        <v>11.04671226814404</v>
      </c>
      <c r="V12" s="119" t="s">
        <v>145</v>
      </c>
      <c r="W12" s="5">
        <v>0</v>
      </c>
      <c r="X12" s="5">
        <f>$AI$10</f>
        <v>17.240725948587251</v>
      </c>
      <c r="Y12" s="5">
        <f>$AF$10</f>
        <v>11.04671226814404</v>
      </c>
      <c r="AA12" s="167" t="s">
        <v>246</v>
      </c>
      <c r="AB12" s="168"/>
      <c r="AC12" s="5">
        <f>'Carichi unitari'!J30</f>
        <v>3.66</v>
      </c>
      <c r="AD12" s="5"/>
      <c r="AE12" s="5"/>
      <c r="AF12" s="5">
        <f>AC12</f>
        <v>3.66</v>
      </c>
      <c r="AG12" s="5">
        <f t="shared" si="0"/>
        <v>4.758</v>
      </c>
      <c r="AH12" s="5"/>
      <c r="AI12" s="5">
        <f>AG12</f>
        <v>4.758</v>
      </c>
      <c r="AJ12"/>
      <c r="AK12" s="294" t="s">
        <v>21</v>
      </c>
      <c r="AL12" s="344"/>
      <c r="AM12" s="344"/>
      <c r="AN12" s="295"/>
      <c r="AO12" s="52">
        <v>1</v>
      </c>
      <c r="AP12" s="52">
        <v>0.9</v>
      </c>
      <c r="AQ12" s="52">
        <v>0.8</v>
      </c>
    </row>
    <row r="13" spans="1:43" x14ac:dyDescent="0.25">
      <c r="A13" s="12"/>
      <c r="B13" s="167" t="s">
        <v>146</v>
      </c>
      <c r="C13" s="168"/>
      <c r="D13" s="5">
        <f>$AI$11</f>
        <v>7.8000000000000007</v>
      </c>
      <c r="E13" s="5">
        <f>$AF$11</f>
        <v>6</v>
      </c>
      <c r="G13" s="167" t="s">
        <v>146</v>
      </c>
      <c r="H13" s="168"/>
      <c r="I13" s="5">
        <f>$AI$11</f>
        <v>7.8000000000000007</v>
      </c>
      <c r="J13" s="5">
        <f>$AF$11</f>
        <v>6</v>
      </c>
      <c r="L13" s="167" t="s">
        <v>146</v>
      </c>
      <c r="M13" s="168"/>
      <c r="N13" s="5">
        <f>$AI$11</f>
        <v>7.8000000000000007</v>
      </c>
      <c r="O13" s="5">
        <f>$AF$11</f>
        <v>6</v>
      </c>
      <c r="Q13" s="167" t="s">
        <v>146</v>
      </c>
      <c r="R13" s="168"/>
      <c r="S13" s="5">
        <v>7.8</v>
      </c>
      <c r="T13" s="5">
        <v>6</v>
      </c>
      <c r="V13" s="167" t="s">
        <v>146</v>
      </c>
      <c r="W13" s="168"/>
      <c r="X13" s="5">
        <f>$AI$11</f>
        <v>7.8000000000000007</v>
      </c>
      <c r="Y13" s="5">
        <f>$AF$11</f>
        <v>6</v>
      </c>
      <c r="AA13" s="167" t="s">
        <v>256</v>
      </c>
      <c r="AB13" s="168"/>
      <c r="AC13" s="5">
        <f>'Carichi unitari'!J31</f>
        <v>0.81000000000000016</v>
      </c>
      <c r="AD13" s="5"/>
      <c r="AE13" s="5"/>
      <c r="AF13" s="5">
        <f>AC13</f>
        <v>0.81000000000000016</v>
      </c>
      <c r="AG13" s="5">
        <f t="shared" si="0"/>
        <v>1.0530000000000002</v>
      </c>
      <c r="AH13" s="5"/>
      <c r="AI13" s="5">
        <f>AG13</f>
        <v>1.0530000000000002</v>
      </c>
      <c r="AJ13"/>
      <c r="AK13" s="294" t="s">
        <v>284</v>
      </c>
      <c r="AL13" s="344"/>
      <c r="AM13" s="344"/>
      <c r="AN13" s="295"/>
      <c r="AO13" s="53">
        <v>0.7</v>
      </c>
      <c r="AP13" s="53">
        <v>0.7</v>
      </c>
      <c r="AQ13" s="53">
        <v>0.6</v>
      </c>
    </row>
    <row r="14" spans="1:43" x14ac:dyDescent="0.25">
      <c r="A14" s="12"/>
      <c r="B14" s="273"/>
      <c r="C14" s="274"/>
      <c r="D14" s="5">
        <f>C10*D10+C11*D11+C12*D12+D13</f>
        <v>27.625940249999999</v>
      </c>
      <c r="E14" s="5">
        <f>C10*E10+C11*E11+C12*E12+E13</f>
        <v>19.306492500000001</v>
      </c>
      <c r="G14" s="273"/>
      <c r="H14" s="274"/>
      <c r="I14" s="5">
        <f>H10*I10+H11*I11+H12*I12+I13</f>
        <v>27.625940249999999</v>
      </c>
      <c r="J14" s="5">
        <f>H10*J10+H11*J11+H12*J12+J13</f>
        <v>19.306492500000001</v>
      </c>
      <c r="L14" s="273"/>
      <c r="M14" s="274"/>
      <c r="N14" s="5">
        <f>M10*N10+M11*N11+M12*N12+N13</f>
        <v>14.9660025</v>
      </c>
      <c r="O14" s="5">
        <f>M10*O10+M11*O11+M12*O12+O13</f>
        <v>11.096924999999999</v>
      </c>
      <c r="Q14" s="273"/>
      <c r="R14" s="274"/>
      <c r="S14" s="5">
        <f>R10*S10+R11*S11+R12*S12+S13</f>
        <v>27.625940249999999</v>
      </c>
      <c r="T14" s="5">
        <f>R10*T10+R11*T11+R12*T12+T13</f>
        <v>19.306492500000001</v>
      </c>
      <c r="V14" s="273"/>
      <c r="W14" s="274"/>
      <c r="X14" s="5">
        <f>W10*X10+W11*X11+W12*X12+X13</f>
        <v>27.625940249999999</v>
      </c>
      <c r="Y14" s="5">
        <f>W10*Y10+W11*Y11+W12*Y12+Y13</f>
        <v>19.306492500000001</v>
      </c>
      <c r="AA14" s="167" t="s">
        <v>257</v>
      </c>
      <c r="AB14" s="168"/>
      <c r="AC14" s="5">
        <f>'Carichi unitari'!J32</f>
        <v>14.069999999999999</v>
      </c>
      <c r="AD14" s="5"/>
      <c r="AE14" s="5"/>
      <c r="AF14" s="5">
        <f>AC14</f>
        <v>14.069999999999999</v>
      </c>
      <c r="AG14" s="5">
        <f t="shared" si="0"/>
        <v>18.291</v>
      </c>
      <c r="AH14" s="5"/>
      <c r="AI14" s="5">
        <f>$AG$14</f>
        <v>18.291</v>
      </c>
      <c r="AJ14"/>
      <c r="AK14" s="294" t="s">
        <v>22</v>
      </c>
      <c r="AL14" s="344"/>
      <c r="AM14" s="344"/>
      <c r="AN14" s="295"/>
      <c r="AO14" s="53">
        <v>0.7</v>
      </c>
      <c r="AP14" s="53">
        <v>0.5</v>
      </c>
      <c r="AQ14" s="53">
        <v>0.3</v>
      </c>
    </row>
    <row r="15" spans="1:43" x14ac:dyDescent="0.25">
      <c r="A15" s="12"/>
      <c r="B15" s="179" t="s">
        <v>201</v>
      </c>
      <c r="C15" s="181"/>
      <c r="D15" s="5">
        <f>E15*1.3</f>
        <v>4.758</v>
      </c>
      <c r="E15" s="5">
        <f>(0.3*E3*1*25)-0.3*2.8</f>
        <v>3.66</v>
      </c>
      <c r="G15" s="179" t="s">
        <v>201</v>
      </c>
      <c r="H15" s="181"/>
      <c r="I15" s="5">
        <f>J15*1.3</f>
        <v>4.758</v>
      </c>
      <c r="J15" s="5">
        <f>(0.3*E3*1*25)-0.3*2.8</f>
        <v>3.66</v>
      </c>
      <c r="L15" s="179" t="s">
        <v>201</v>
      </c>
      <c r="M15" s="181"/>
      <c r="N15" s="5">
        <f>O15*1.3</f>
        <v>4.758</v>
      </c>
      <c r="O15" s="5">
        <f>(0.3*E3*1*25)-0.3*2.8</f>
        <v>3.66</v>
      </c>
      <c r="Q15" s="179" t="s">
        <v>201</v>
      </c>
      <c r="R15" s="181"/>
      <c r="S15" s="144">
        <f>T15*1.3</f>
        <v>4.758</v>
      </c>
      <c r="T15" s="5">
        <f>(0.3*E3*1*25)-0.3*2.8</f>
        <v>3.66</v>
      </c>
      <c r="V15" s="179" t="s">
        <v>201</v>
      </c>
      <c r="W15" s="181"/>
      <c r="X15" s="144">
        <f>Y15*1.3</f>
        <v>4.758</v>
      </c>
      <c r="Y15" s="5">
        <f>(0.3*E3*1*25)-0.3*2.8</f>
        <v>3.66</v>
      </c>
      <c r="AA15" s="167" t="s">
        <v>119</v>
      </c>
      <c r="AB15" s="168"/>
      <c r="AC15" s="5">
        <f>'Carichi unitari'!J33</f>
        <v>3.66</v>
      </c>
      <c r="AD15" s="5"/>
      <c r="AE15" s="5"/>
      <c r="AF15" s="5">
        <f>AF12</f>
        <v>3.66</v>
      </c>
      <c r="AG15" s="5">
        <f t="shared" si="0"/>
        <v>4.758</v>
      </c>
      <c r="AH15" s="5"/>
      <c r="AI15" s="5">
        <f>AI12</f>
        <v>4.758</v>
      </c>
      <c r="AJ15"/>
      <c r="AK15" s="294" t="s">
        <v>23</v>
      </c>
      <c r="AL15" s="344"/>
      <c r="AM15" s="344"/>
      <c r="AN15" s="295"/>
      <c r="AO15" s="52">
        <v>0</v>
      </c>
      <c r="AP15" s="52">
        <v>0</v>
      </c>
      <c r="AQ15" s="52">
        <v>0</v>
      </c>
    </row>
    <row r="16" spans="1:43" x14ac:dyDescent="0.25">
      <c r="A16" s="12"/>
      <c r="B16" s="179" t="s">
        <v>109</v>
      </c>
      <c r="C16" s="181"/>
      <c r="D16" s="5">
        <f>SUM(D14:D15)</f>
        <v>32.383940250000002</v>
      </c>
      <c r="E16" s="5">
        <f>SUM(E14:E15)</f>
        <v>22.966492500000001</v>
      </c>
      <c r="G16" s="179" t="s">
        <v>109</v>
      </c>
      <c r="H16" s="181"/>
      <c r="I16" s="5">
        <f>SUM(I14:I15)</f>
        <v>32.383940250000002</v>
      </c>
      <c r="J16" s="5">
        <f>SUM(J14:J15)</f>
        <v>22.966492500000001</v>
      </c>
      <c r="L16" s="179" t="s">
        <v>109</v>
      </c>
      <c r="M16" s="181"/>
      <c r="N16" s="5">
        <f>SUM(N14:N15)</f>
        <v>19.724002500000001</v>
      </c>
      <c r="O16" s="5">
        <f>SUM(O14:O15)</f>
        <v>14.756924999999999</v>
      </c>
      <c r="Q16" s="179" t="s">
        <v>109</v>
      </c>
      <c r="R16" s="181"/>
      <c r="S16" s="5">
        <f>SUM(S14:S15)</f>
        <v>32.383940250000002</v>
      </c>
      <c r="T16" s="5">
        <f>SUM(T14:T15)</f>
        <v>22.966492500000001</v>
      </c>
      <c r="V16" s="179" t="s">
        <v>109</v>
      </c>
      <c r="W16" s="181"/>
      <c r="X16" s="5">
        <f>SUM(X14:X15)</f>
        <v>32.383940250000002</v>
      </c>
      <c r="Y16" s="5">
        <f>SUM(Y14:Y15)</f>
        <v>22.966492500000001</v>
      </c>
      <c r="AA16"/>
      <c r="AB16"/>
      <c r="AC16"/>
      <c r="AD16"/>
      <c r="AE16"/>
      <c r="AF16"/>
      <c r="AG16"/>
      <c r="AH16"/>
      <c r="AI16"/>
      <c r="AJ16"/>
      <c r="AK16" s="294" t="s">
        <v>24</v>
      </c>
      <c r="AL16" s="344"/>
      <c r="AM16" s="344"/>
      <c r="AN16" s="295"/>
      <c r="AO16" s="53">
        <v>0.6</v>
      </c>
      <c r="AP16" s="53">
        <v>0.2</v>
      </c>
      <c r="AQ16" s="52">
        <v>0</v>
      </c>
    </row>
    <row r="17" spans="1:43" x14ac:dyDescent="0.25">
      <c r="A17" s="12"/>
      <c r="AA17"/>
      <c r="AB17"/>
      <c r="AC17"/>
      <c r="AD17"/>
      <c r="AE17"/>
      <c r="AF17"/>
      <c r="AG17"/>
      <c r="AH17"/>
      <c r="AI17"/>
      <c r="AJ17"/>
      <c r="AK17" s="294" t="s">
        <v>288</v>
      </c>
      <c r="AL17" s="344"/>
      <c r="AM17" s="344"/>
      <c r="AN17" s="295"/>
      <c r="AO17" s="53">
        <v>0.5</v>
      </c>
      <c r="AP17" s="53">
        <v>0.2</v>
      </c>
      <c r="AQ17" s="52">
        <v>0</v>
      </c>
    </row>
    <row r="18" spans="1:43" x14ac:dyDescent="0.25">
      <c r="A18" s="12"/>
      <c r="AA18" s="179" t="s">
        <v>26</v>
      </c>
      <c r="AB18" s="180"/>
      <c r="AC18" s="180"/>
      <c r="AD18" s="181"/>
      <c r="AE18"/>
      <c r="AF18"/>
      <c r="AG18"/>
      <c r="AH18"/>
      <c r="AI18"/>
      <c r="AJ18"/>
      <c r="AK18" s="294" t="s">
        <v>290</v>
      </c>
      <c r="AL18" s="344"/>
      <c r="AM18" s="344"/>
      <c r="AN18" s="295"/>
      <c r="AO18" s="53">
        <v>0.7</v>
      </c>
      <c r="AP18" s="53">
        <v>0.5</v>
      </c>
      <c r="AQ18" s="52">
        <v>0</v>
      </c>
    </row>
    <row r="19" spans="1:43" ht="18.75" x14ac:dyDescent="0.25">
      <c r="A19" s="12"/>
      <c r="B19" s="284" t="s">
        <v>126</v>
      </c>
      <c r="C19" s="285"/>
      <c r="D19" s="285"/>
      <c r="E19" s="286"/>
      <c r="G19" s="284" t="s">
        <v>130</v>
      </c>
      <c r="H19" s="285"/>
      <c r="I19" s="285"/>
      <c r="J19" s="286"/>
      <c r="L19" s="284" t="s">
        <v>133</v>
      </c>
      <c r="M19" s="285"/>
      <c r="N19" s="285"/>
      <c r="O19" s="286"/>
      <c r="Q19" s="284" t="s">
        <v>204</v>
      </c>
      <c r="R19" s="285"/>
      <c r="S19" s="285"/>
      <c r="T19" s="286"/>
      <c r="V19" s="284" t="s">
        <v>131</v>
      </c>
      <c r="W19" s="285"/>
      <c r="X19" s="285"/>
      <c r="Y19" s="286"/>
      <c r="AA19" s="167" t="s">
        <v>27</v>
      </c>
      <c r="AB19" s="228"/>
      <c r="AC19" s="168"/>
      <c r="AD19" s="58">
        <v>1.3</v>
      </c>
      <c r="AE19"/>
      <c r="AF19"/>
      <c r="AG19"/>
      <c r="AH19"/>
      <c r="AI19"/>
      <c r="AJ19"/>
      <c r="AK19" s="294" t="s">
        <v>25</v>
      </c>
      <c r="AL19" s="344"/>
      <c r="AM19" s="344"/>
      <c r="AN19" s="295"/>
      <c r="AO19" s="53">
        <v>0.6</v>
      </c>
      <c r="AP19" s="53">
        <v>0.5</v>
      </c>
      <c r="AQ19" s="52">
        <v>0</v>
      </c>
    </row>
    <row r="20" spans="1:43" ht="18" x14ac:dyDescent="0.25">
      <c r="A20" s="12"/>
      <c r="B20" s="119"/>
      <c r="C20" s="122" t="s">
        <v>140</v>
      </c>
      <c r="D20" s="122" t="s">
        <v>141</v>
      </c>
      <c r="E20" s="122" t="s">
        <v>202</v>
      </c>
      <c r="G20" s="119"/>
      <c r="H20" s="122" t="s">
        <v>140</v>
      </c>
      <c r="I20" s="122" t="s">
        <v>141</v>
      </c>
      <c r="J20" s="122" t="s">
        <v>202</v>
      </c>
      <c r="L20" s="119"/>
      <c r="M20" s="122" t="s">
        <v>140</v>
      </c>
      <c r="N20" s="122" t="s">
        <v>141</v>
      </c>
      <c r="O20" s="122" t="s">
        <v>202</v>
      </c>
      <c r="Q20" s="119"/>
      <c r="R20" s="122" t="s">
        <v>140</v>
      </c>
      <c r="S20" s="122" t="s">
        <v>141</v>
      </c>
      <c r="T20" s="122" t="s">
        <v>202</v>
      </c>
      <c r="V20" s="119"/>
      <c r="W20" s="122" t="s">
        <v>140</v>
      </c>
      <c r="X20" s="122" t="s">
        <v>141</v>
      </c>
      <c r="Y20" s="122" t="s">
        <v>202</v>
      </c>
      <c r="AA20" s="167" t="s">
        <v>28</v>
      </c>
      <c r="AB20" s="228"/>
      <c r="AC20" s="168"/>
      <c r="AD20" s="58">
        <v>1.5</v>
      </c>
      <c r="AE20"/>
      <c r="AF20"/>
      <c r="AG20"/>
      <c r="AH20"/>
      <c r="AI20"/>
      <c r="AJ20"/>
      <c r="AK20"/>
      <c r="AL20"/>
      <c r="AM20"/>
      <c r="AN20"/>
      <c r="AO20"/>
      <c r="AP20"/>
      <c r="AQ20"/>
    </row>
    <row r="21" spans="1:43" x14ac:dyDescent="0.25">
      <c r="A21" s="12"/>
      <c r="B21" s="119" t="s">
        <v>142</v>
      </c>
      <c r="C21" s="5">
        <f>(5.3/2)+(5.2/2)</f>
        <v>5.25</v>
      </c>
      <c r="D21" s="5">
        <f>$AI$8</f>
        <v>4.7773349999999999</v>
      </c>
      <c r="E21" s="5">
        <f>$AF$8</f>
        <v>3.09795</v>
      </c>
      <c r="G21" s="119" t="s">
        <v>142</v>
      </c>
      <c r="H21" s="5">
        <f>(5.3/2)+(5.2/2)</f>
        <v>5.25</v>
      </c>
      <c r="I21" s="5">
        <f>$AI$8</f>
        <v>4.7773349999999999</v>
      </c>
      <c r="J21" s="5">
        <f>$AF$8</f>
        <v>3.09795</v>
      </c>
      <c r="L21" s="119" t="s">
        <v>142</v>
      </c>
      <c r="M21" s="5">
        <f>(5.2/2)</f>
        <v>2.6</v>
      </c>
      <c r="N21" s="5">
        <f>$AI$8</f>
        <v>4.7773349999999999</v>
      </c>
      <c r="O21" s="5">
        <f>$AF$8</f>
        <v>3.09795</v>
      </c>
      <c r="Q21" s="119" t="s">
        <v>142</v>
      </c>
      <c r="R21" s="5">
        <f>(5.3/2)+(5.2/2)</f>
        <v>5.25</v>
      </c>
      <c r="S21" s="5">
        <f>$AI$8</f>
        <v>4.7773349999999999</v>
      </c>
      <c r="T21" s="5">
        <f>$AF$8</f>
        <v>3.09795</v>
      </c>
      <c r="V21" s="119" t="s">
        <v>142</v>
      </c>
      <c r="W21" s="5">
        <f>(5.3/2)+(5.2/2)</f>
        <v>5.25</v>
      </c>
      <c r="X21" s="5">
        <f>$AI$8</f>
        <v>4.7773349999999999</v>
      </c>
      <c r="Y21" s="5">
        <f>$AF$8</f>
        <v>3.09795</v>
      </c>
      <c r="AA21" s="167" t="s">
        <v>29</v>
      </c>
      <c r="AB21" s="228"/>
      <c r="AC21" s="168"/>
      <c r="AD21" s="58">
        <v>1</v>
      </c>
      <c r="AE21"/>
      <c r="AF21"/>
      <c r="AG21"/>
      <c r="AH21"/>
      <c r="AI21"/>
      <c r="AJ21"/>
      <c r="AK21"/>
      <c r="AL21"/>
      <c r="AM21"/>
      <c r="AN21"/>
      <c r="AO21"/>
      <c r="AP21"/>
      <c r="AQ21"/>
    </row>
    <row r="22" spans="1:43" x14ac:dyDescent="0.25">
      <c r="A22" s="12"/>
      <c r="B22" s="119" t="s">
        <v>143</v>
      </c>
      <c r="C22" s="5">
        <v>0</v>
      </c>
      <c r="D22" s="5">
        <f>$AI$9</f>
        <v>4.7773349999999999</v>
      </c>
      <c r="E22" s="5">
        <f>$AF$9</f>
        <v>3.3979499999999998</v>
      </c>
      <c r="G22" s="119" t="s">
        <v>143</v>
      </c>
      <c r="H22" s="5">
        <v>0</v>
      </c>
      <c r="I22" s="5">
        <f>$AI$9</f>
        <v>4.7773349999999999</v>
      </c>
      <c r="J22" s="5">
        <f>$AF$9</f>
        <v>3.3979499999999998</v>
      </c>
      <c r="L22" s="119" t="s">
        <v>143</v>
      </c>
      <c r="M22" s="5">
        <v>0</v>
      </c>
      <c r="N22" s="5">
        <f>$AI$9</f>
        <v>4.7773349999999999</v>
      </c>
      <c r="O22" s="5">
        <f>$AF$9</f>
        <v>3.3979499999999998</v>
      </c>
      <c r="Q22" s="119" t="s">
        <v>143</v>
      </c>
      <c r="R22" s="5">
        <v>0</v>
      </c>
      <c r="S22" s="5">
        <f>$AI$9</f>
        <v>4.7773349999999999</v>
      </c>
      <c r="T22" s="5">
        <f>$AF$9</f>
        <v>3.3979499999999998</v>
      </c>
      <c r="V22" s="119" t="s">
        <v>143</v>
      </c>
      <c r="W22" s="5">
        <v>0</v>
      </c>
      <c r="X22" s="5">
        <f>$AI$9</f>
        <v>4.7773349999999999</v>
      </c>
      <c r="Y22" s="5">
        <f>$AF$9</f>
        <v>3.3979499999999998</v>
      </c>
    </row>
    <row r="23" spans="1:43" x14ac:dyDescent="0.25">
      <c r="A23" s="12"/>
      <c r="B23" s="119" t="s">
        <v>145</v>
      </c>
      <c r="C23" s="5">
        <v>0</v>
      </c>
      <c r="D23" s="5">
        <f>$AI$10</f>
        <v>17.240725948587251</v>
      </c>
      <c r="E23" s="5">
        <f>$AF$10</f>
        <v>11.04671226814404</v>
      </c>
      <c r="G23" s="119" t="s">
        <v>145</v>
      </c>
      <c r="H23" s="5">
        <v>0</v>
      </c>
      <c r="I23" s="5">
        <f>$AI$10</f>
        <v>17.240725948587251</v>
      </c>
      <c r="J23" s="5">
        <f>$AF$10</f>
        <v>11.04671226814404</v>
      </c>
      <c r="L23" s="119" t="s">
        <v>145</v>
      </c>
      <c r="M23" s="5">
        <v>0</v>
      </c>
      <c r="N23" s="5">
        <f>$AI$10</f>
        <v>17.240725948587251</v>
      </c>
      <c r="O23" s="5">
        <f>$AF$10</f>
        <v>11.04671226814404</v>
      </c>
      <c r="Q23" s="119" t="s">
        <v>145</v>
      </c>
      <c r="R23" s="5">
        <v>0</v>
      </c>
      <c r="S23" s="5">
        <f>$AI$10</f>
        <v>17.240725948587251</v>
      </c>
      <c r="T23" s="5">
        <f>$AF$10</f>
        <v>11.04671226814404</v>
      </c>
      <c r="V23" s="119" t="s">
        <v>145</v>
      </c>
      <c r="W23" s="5">
        <v>0</v>
      </c>
      <c r="X23" s="5">
        <f>$AI$10</f>
        <v>17.240725948587251</v>
      </c>
      <c r="Y23" s="5">
        <f>$AF$10</f>
        <v>11.04671226814404</v>
      </c>
    </row>
    <row r="24" spans="1:43" x14ac:dyDescent="0.25">
      <c r="A24" s="12"/>
      <c r="B24" s="167" t="s">
        <v>146</v>
      </c>
      <c r="C24" s="168"/>
      <c r="D24" s="5">
        <v>0</v>
      </c>
      <c r="E24" s="5">
        <v>0</v>
      </c>
      <c r="G24" s="167" t="s">
        <v>146</v>
      </c>
      <c r="H24" s="168"/>
      <c r="I24" s="5">
        <v>0</v>
      </c>
      <c r="J24" s="5">
        <v>0</v>
      </c>
      <c r="L24" s="167" t="s">
        <v>146</v>
      </c>
      <c r="M24" s="168"/>
      <c r="N24" s="5">
        <f>$AI$11</f>
        <v>7.8000000000000007</v>
      </c>
      <c r="O24" s="5">
        <f>$AF$11</f>
        <v>6</v>
      </c>
      <c r="Q24" s="167" t="s">
        <v>146</v>
      </c>
      <c r="R24" s="168"/>
      <c r="S24" s="5">
        <v>0</v>
      </c>
      <c r="T24" s="5">
        <v>0</v>
      </c>
      <c r="V24" s="167" t="s">
        <v>146</v>
      </c>
      <c r="W24" s="168"/>
      <c r="X24" s="5">
        <v>0</v>
      </c>
      <c r="Y24" s="5">
        <v>0</v>
      </c>
    </row>
    <row r="25" spans="1:43" x14ac:dyDescent="0.25">
      <c r="A25" s="12"/>
      <c r="B25" s="273"/>
      <c r="C25" s="274"/>
      <c r="D25" s="5">
        <f>C21*D21+C22*D22+C23*D23+D24</f>
        <v>25.081008749999999</v>
      </c>
      <c r="E25" s="5">
        <f>C21*E21+C22*E22+C23*E23+E24</f>
        <v>16.2642375</v>
      </c>
      <c r="G25" s="273"/>
      <c r="H25" s="274"/>
      <c r="I25" s="5">
        <f>H21*I21+H22*I22+H23*I23+I24</f>
        <v>25.081008749999999</v>
      </c>
      <c r="J25" s="5">
        <f>H21*J21+H22*J22+H23*J23+J24</f>
        <v>16.2642375</v>
      </c>
      <c r="L25" s="273"/>
      <c r="M25" s="274"/>
      <c r="N25" s="5">
        <f>M21*N21+M22*N22+M23*N23+N24</f>
        <v>20.221071000000002</v>
      </c>
      <c r="O25" s="5">
        <f>M21*O21+M22*O22+M23*O23+O24</f>
        <v>14.05467</v>
      </c>
      <c r="Q25" s="273"/>
      <c r="R25" s="274"/>
      <c r="S25" s="5">
        <f>R21*S21+R22*S22+R23*S23+S24</f>
        <v>25.081008749999999</v>
      </c>
      <c r="T25" s="5">
        <f>R21*T21+R22*T22+R23*T23+T24</f>
        <v>16.2642375</v>
      </c>
      <c r="V25" s="273"/>
      <c r="W25" s="274"/>
      <c r="X25" s="5">
        <f>W21*X21+W22*X22+W23*X23+X24</f>
        <v>25.081008749999999</v>
      </c>
      <c r="Y25" s="5">
        <f>W21*Y21+W22*Y22+W23*Y23+Y24</f>
        <v>16.2642375</v>
      </c>
    </row>
    <row r="26" spans="1:43" x14ac:dyDescent="0.25">
      <c r="A26" s="12"/>
      <c r="B26" s="179" t="s">
        <v>201</v>
      </c>
      <c r="C26" s="181"/>
      <c r="D26" s="5">
        <f>E26*1.3</f>
        <v>4.758</v>
      </c>
      <c r="E26" s="5">
        <f>(0.3*E3*1*25)-0.3*2.8</f>
        <v>3.66</v>
      </c>
      <c r="G26" s="179" t="s">
        <v>201</v>
      </c>
      <c r="H26" s="181"/>
      <c r="I26" s="144">
        <f>J26*1.3</f>
        <v>4.758</v>
      </c>
      <c r="J26" s="5">
        <f>(0.3*E3*1*25)-0.3*2.8</f>
        <v>3.66</v>
      </c>
      <c r="L26" s="179" t="s">
        <v>201</v>
      </c>
      <c r="M26" s="181"/>
      <c r="N26" s="144">
        <f>O26*1.3</f>
        <v>4.758</v>
      </c>
      <c r="O26" s="5">
        <f>(0.3*E3*1*25)-0.3*2.8</f>
        <v>3.66</v>
      </c>
      <c r="Q26" s="179" t="s">
        <v>201</v>
      </c>
      <c r="R26" s="181"/>
      <c r="S26" s="144">
        <f>T26*1.3</f>
        <v>4.758</v>
      </c>
      <c r="T26" s="5">
        <f>(0.3*E3*1*25)-0.3*2.8</f>
        <v>3.66</v>
      </c>
      <c r="V26" s="179" t="s">
        <v>201</v>
      </c>
      <c r="W26" s="181"/>
      <c r="X26" s="144">
        <f>Y26*1.3</f>
        <v>4.758</v>
      </c>
      <c r="Y26" s="5">
        <f>(0.3*E3*1*25)-0.3*2.8</f>
        <v>3.66</v>
      </c>
    </row>
    <row r="27" spans="1:43" x14ac:dyDescent="0.25">
      <c r="A27" s="12"/>
      <c r="B27" s="179" t="s">
        <v>109</v>
      </c>
      <c r="C27" s="181"/>
      <c r="D27" s="5">
        <f>SUM(D25:D26)</f>
        <v>29.839008749999998</v>
      </c>
      <c r="E27" s="5">
        <f>SUM(E25:E26)</f>
        <v>19.9242375</v>
      </c>
      <c r="G27" s="179" t="s">
        <v>109</v>
      </c>
      <c r="H27" s="181"/>
      <c r="I27" s="5">
        <f>SUM(I25:I26)</f>
        <v>29.839008749999998</v>
      </c>
      <c r="J27" s="5">
        <f>SUM(J25:J26)</f>
        <v>19.9242375</v>
      </c>
      <c r="L27" s="179" t="s">
        <v>109</v>
      </c>
      <c r="M27" s="181"/>
      <c r="N27" s="5">
        <f>SUM(N25:N26)</f>
        <v>24.979071000000001</v>
      </c>
      <c r="O27" s="5">
        <f>SUM(O25:O26)</f>
        <v>17.714669999999998</v>
      </c>
      <c r="Q27" s="179" t="s">
        <v>109</v>
      </c>
      <c r="R27" s="181"/>
      <c r="S27" s="5">
        <f>SUM(S25:S26)</f>
        <v>29.839008749999998</v>
      </c>
      <c r="T27" s="5">
        <f>SUM(T25:T26)</f>
        <v>19.9242375</v>
      </c>
      <c r="V27" s="179" t="s">
        <v>109</v>
      </c>
      <c r="W27" s="181"/>
      <c r="X27" s="5">
        <f>SUM(X25:X26)</f>
        <v>29.839008749999998</v>
      </c>
      <c r="Y27" s="5">
        <f>SUM(Y25:Y26)</f>
        <v>19.9242375</v>
      </c>
    </row>
    <row r="28" spans="1:43" x14ac:dyDescent="0.25">
      <c r="A28" s="12"/>
    </row>
    <row r="29" spans="1:43" ht="18.75" x14ac:dyDescent="0.25">
      <c r="A29" s="12"/>
      <c r="B29" s="284" t="s">
        <v>120</v>
      </c>
      <c r="C29" s="285"/>
      <c r="D29" s="285"/>
      <c r="E29" s="286"/>
      <c r="G29" s="284" t="s">
        <v>123</v>
      </c>
      <c r="H29" s="285"/>
      <c r="I29" s="285"/>
      <c r="J29" s="286"/>
      <c r="L29" s="284" t="s">
        <v>125</v>
      </c>
      <c r="M29" s="285"/>
      <c r="N29" s="285"/>
      <c r="O29" s="286"/>
      <c r="Q29" s="284" t="s">
        <v>205</v>
      </c>
      <c r="R29" s="285"/>
      <c r="S29" s="285"/>
      <c r="T29" s="286"/>
      <c r="V29" s="284" t="s">
        <v>121</v>
      </c>
      <c r="W29" s="285"/>
      <c r="X29" s="285"/>
      <c r="Y29" s="286"/>
      <c r="AA29" s="219" t="s">
        <v>366</v>
      </c>
      <c r="AB29" s="220"/>
      <c r="AC29" s="220"/>
      <c r="AD29" s="220"/>
      <c r="AE29" s="220"/>
      <c r="AF29" s="220"/>
      <c r="AG29" s="221"/>
      <c r="AI29" s="219" t="s">
        <v>384</v>
      </c>
      <c r="AJ29" s="220"/>
      <c r="AK29" s="220"/>
      <c r="AL29" s="220"/>
      <c r="AM29" s="220"/>
      <c r="AN29" s="220"/>
      <c r="AO29" s="221"/>
    </row>
    <row r="30" spans="1:43" ht="18" x14ac:dyDescent="0.25">
      <c r="A30" s="12"/>
      <c r="B30" s="119"/>
      <c r="C30" s="122" t="s">
        <v>140</v>
      </c>
      <c r="D30" s="122" t="s">
        <v>141</v>
      </c>
      <c r="E30" s="122" t="s">
        <v>202</v>
      </c>
      <c r="G30" s="119"/>
      <c r="H30" s="122" t="s">
        <v>140</v>
      </c>
      <c r="I30" s="122" t="s">
        <v>141</v>
      </c>
      <c r="J30" s="122" t="s">
        <v>202</v>
      </c>
      <c r="L30" s="119"/>
      <c r="M30" s="122" t="s">
        <v>140</v>
      </c>
      <c r="N30" s="122" t="s">
        <v>141</v>
      </c>
      <c r="O30" s="122" t="s">
        <v>202</v>
      </c>
      <c r="Q30" s="119"/>
      <c r="R30" s="122" t="s">
        <v>140</v>
      </c>
      <c r="S30" s="122" t="s">
        <v>141</v>
      </c>
      <c r="T30" s="122" t="s">
        <v>202</v>
      </c>
      <c r="V30" s="119"/>
      <c r="W30" s="122" t="s">
        <v>140</v>
      </c>
      <c r="X30" s="122" t="s">
        <v>141</v>
      </c>
      <c r="Y30" s="122" t="s">
        <v>202</v>
      </c>
      <c r="AA30" s="140" t="s">
        <v>367</v>
      </c>
      <c r="AB30" s="58"/>
      <c r="AC30" s="328" t="s">
        <v>368</v>
      </c>
      <c r="AD30" s="332"/>
      <c r="AE30" s="332"/>
      <c r="AF30" s="332"/>
      <c r="AG30" s="329"/>
      <c r="AI30" s="140" t="s">
        <v>367</v>
      </c>
      <c r="AJ30" s="122"/>
      <c r="AK30" s="328" t="s">
        <v>368</v>
      </c>
      <c r="AL30" s="332"/>
      <c r="AM30" s="332"/>
      <c r="AN30" s="332"/>
      <c r="AO30" s="329"/>
    </row>
    <row r="31" spans="1:43" x14ac:dyDescent="0.25">
      <c r="A31" s="12"/>
      <c r="B31" s="119" t="s">
        <v>142</v>
      </c>
      <c r="C31" s="5">
        <f>(5.2/2)</f>
        <v>2.6</v>
      </c>
      <c r="D31" s="5">
        <f>$AI$8</f>
        <v>4.7773349999999999</v>
      </c>
      <c r="E31" s="5">
        <f>$AF$8</f>
        <v>3.09795</v>
      </c>
      <c r="G31" s="119" t="s">
        <v>142</v>
      </c>
      <c r="H31" s="5">
        <f>(5.2/2)</f>
        <v>2.6</v>
      </c>
      <c r="I31" s="5">
        <f>$AI$8</f>
        <v>4.7773349999999999</v>
      </c>
      <c r="J31" s="5">
        <f>$AF$8</f>
        <v>3.09795</v>
      </c>
      <c r="L31" s="119" t="s">
        <v>142</v>
      </c>
      <c r="M31" s="5">
        <f>(5.2/2)</f>
        <v>2.6</v>
      </c>
      <c r="N31" s="5">
        <f>$AI$8</f>
        <v>4.7773349999999999</v>
      </c>
      <c r="O31" s="5">
        <f>$AF$8</f>
        <v>3.09795</v>
      </c>
      <c r="Q31" s="119" t="s">
        <v>142</v>
      </c>
      <c r="R31" s="5">
        <f>(5.2/2)</f>
        <v>2.6</v>
      </c>
      <c r="S31" s="5">
        <f>$AI$8</f>
        <v>4.7773349999999999</v>
      </c>
      <c r="T31" s="5">
        <f>$AF$8</f>
        <v>3.09795</v>
      </c>
      <c r="V31" s="119" t="s">
        <v>142</v>
      </c>
      <c r="W31" s="5">
        <f>(5.2/2)</f>
        <v>2.6</v>
      </c>
      <c r="X31" s="5">
        <f>$AI$8</f>
        <v>4.7773349999999999</v>
      </c>
      <c r="Y31" s="5">
        <f>$AF$8</f>
        <v>3.09795</v>
      </c>
      <c r="AA31" s="141">
        <v>101</v>
      </c>
      <c r="AB31" s="141"/>
      <c r="AC31" s="141" t="s">
        <v>369</v>
      </c>
      <c r="AD31" s="141" t="s">
        <v>370</v>
      </c>
      <c r="AE31" s="141" t="s">
        <v>371</v>
      </c>
      <c r="AF31" s="141" t="s">
        <v>372</v>
      </c>
      <c r="AG31" s="141" t="s">
        <v>373</v>
      </c>
      <c r="AI31" s="141">
        <v>101</v>
      </c>
      <c r="AJ31" s="141"/>
      <c r="AK31" s="141" t="s">
        <v>369</v>
      </c>
      <c r="AL31" s="141" t="s">
        <v>370</v>
      </c>
      <c r="AM31" s="141" t="s">
        <v>371</v>
      </c>
      <c r="AN31" s="141" t="s">
        <v>372</v>
      </c>
      <c r="AO31" s="141" t="s">
        <v>373</v>
      </c>
    </row>
    <row r="32" spans="1:43" x14ac:dyDescent="0.25">
      <c r="A32" s="12"/>
      <c r="B32" s="119" t="s">
        <v>143</v>
      </c>
      <c r="C32" s="5">
        <f>1.5</f>
        <v>1.5</v>
      </c>
      <c r="D32" s="5">
        <f>$AI$9</f>
        <v>4.7773349999999999</v>
      </c>
      <c r="E32" s="5">
        <f>$AF$9</f>
        <v>3.3979499999999998</v>
      </c>
      <c r="G32" s="119" t="s">
        <v>143</v>
      </c>
      <c r="H32" s="5">
        <f>1.5</f>
        <v>1.5</v>
      </c>
      <c r="I32" s="5">
        <f>$AI$9</f>
        <v>4.7773349999999999</v>
      </c>
      <c r="J32" s="5">
        <f>$AF$9</f>
        <v>3.3979499999999998</v>
      </c>
      <c r="L32" s="119" t="s">
        <v>143</v>
      </c>
      <c r="M32" s="5">
        <f>1.5</f>
        <v>1.5</v>
      </c>
      <c r="N32" s="5">
        <f>$AI$9</f>
        <v>4.7773349999999999</v>
      </c>
      <c r="O32" s="5">
        <f>$AF$9</f>
        <v>3.3979499999999998</v>
      </c>
      <c r="Q32" s="119" t="s">
        <v>143</v>
      </c>
      <c r="R32" s="5">
        <f>1.5</f>
        <v>1.5</v>
      </c>
      <c r="S32" s="5">
        <f>$AI$9</f>
        <v>4.7773349999999999</v>
      </c>
      <c r="T32" s="5">
        <f>$AF$9</f>
        <v>3.3979499999999998</v>
      </c>
      <c r="V32" s="119" t="s">
        <v>143</v>
      </c>
      <c r="W32" s="5">
        <f>1.5</f>
        <v>1.5</v>
      </c>
      <c r="X32" s="5">
        <f>$AI$9</f>
        <v>4.7773349999999999</v>
      </c>
      <c r="Y32" s="5">
        <f>$AF$9</f>
        <v>3.3979499999999998</v>
      </c>
      <c r="AA32" s="90"/>
      <c r="AB32" s="61" t="s">
        <v>102</v>
      </c>
      <c r="AC32" s="142">
        <f>D37</f>
        <v>32.145073500000002</v>
      </c>
      <c r="AD32" s="142">
        <f>I37</f>
        <v>32.145073500000002</v>
      </c>
      <c r="AE32" s="142">
        <f>N37</f>
        <v>32.145073500000002</v>
      </c>
      <c r="AF32" s="142">
        <f>S37</f>
        <v>32.145073500000002</v>
      </c>
      <c r="AG32" s="142">
        <f>X37</f>
        <v>32.145073500000002</v>
      </c>
      <c r="AI32" s="90"/>
      <c r="AJ32" s="61" t="s">
        <v>385</v>
      </c>
      <c r="AK32" s="142">
        <f>E37</f>
        <v>22.811595000000001</v>
      </c>
      <c r="AL32" s="142">
        <f>J37</f>
        <v>22.811595000000001</v>
      </c>
      <c r="AM32" s="142">
        <f>O37</f>
        <v>22.811595000000001</v>
      </c>
      <c r="AN32" s="142">
        <f>T37</f>
        <v>22.811595000000001</v>
      </c>
      <c r="AO32" s="142">
        <f>Y37</f>
        <v>22.811595000000001</v>
      </c>
    </row>
    <row r="33" spans="1:41" x14ac:dyDescent="0.25">
      <c r="A33" s="12"/>
      <c r="B33" s="119" t="s">
        <v>145</v>
      </c>
      <c r="C33" s="5">
        <v>0</v>
      </c>
      <c r="D33" s="5">
        <f>$AI$10</f>
        <v>17.240725948587251</v>
      </c>
      <c r="E33" s="5">
        <f>$AF$10</f>
        <v>11.04671226814404</v>
      </c>
      <c r="G33" s="119" t="s">
        <v>145</v>
      </c>
      <c r="H33" s="5">
        <v>0</v>
      </c>
      <c r="I33" s="5">
        <f>$AI$10</f>
        <v>17.240725948587251</v>
      </c>
      <c r="J33" s="5">
        <f>$AF$10</f>
        <v>11.04671226814404</v>
      </c>
      <c r="L33" s="119" t="s">
        <v>145</v>
      </c>
      <c r="M33" s="5">
        <v>0</v>
      </c>
      <c r="N33" s="5">
        <f>$AI$10</f>
        <v>17.240725948587251</v>
      </c>
      <c r="O33" s="5">
        <f>$AF$10</f>
        <v>11.04671226814404</v>
      </c>
      <c r="Q33" s="119" t="s">
        <v>145</v>
      </c>
      <c r="R33" s="5">
        <v>0</v>
      </c>
      <c r="S33" s="5">
        <f>$AI$10</f>
        <v>17.240725948587251</v>
      </c>
      <c r="T33" s="5">
        <f>$AF$10</f>
        <v>11.04671226814404</v>
      </c>
      <c r="V33" s="119" t="s">
        <v>145</v>
      </c>
      <c r="W33" s="5">
        <v>0</v>
      </c>
      <c r="X33" s="5">
        <f>$AI$10</f>
        <v>17.240725948587251</v>
      </c>
      <c r="Y33" s="5">
        <f>$AF$10</f>
        <v>11.04671226814404</v>
      </c>
      <c r="AA33" s="143">
        <v>102</v>
      </c>
      <c r="AB33" s="143"/>
      <c r="AC33" s="143" t="s">
        <v>374</v>
      </c>
      <c r="AD33" s="143" t="s">
        <v>375</v>
      </c>
      <c r="AE33" s="143" t="s">
        <v>376</v>
      </c>
      <c r="AF33" s="143" t="s">
        <v>377</v>
      </c>
      <c r="AG33" s="143" t="s">
        <v>378</v>
      </c>
      <c r="AI33" s="143">
        <v>102</v>
      </c>
      <c r="AJ33" s="143"/>
      <c r="AK33" s="143" t="s">
        <v>374</v>
      </c>
      <c r="AL33" s="143" t="s">
        <v>375</v>
      </c>
      <c r="AM33" s="143" t="s">
        <v>376</v>
      </c>
      <c r="AN33" s="143" t="s">
        <v>377</v>
      </c>
      <c r="AO33" s="143" t="s">
        <v>378</v>
      </c>
    </row>
    <row r="34" spans="1:41" x14ac:dyDescent="0.25">
      <c r="A34" s="12"/>
      <c r="B34" s="167" t="s">
        <v>146</v>
      </c>
      <c r="C34" s="168"/>
      <c r="D34" s="5">
        <f>$AI$11</f>
        <v>7.8000000000000007</v>
      </c>
      <c r="E34" s="5">
        <f>$AF$11</f>
        <v>6</v>
      </c>
      <c r="G34" s="167" t="s">
        <v>146</v>
      </c>
      <c r="H34" s="168"/>
      <c r="I34" s="5">
        <f>$AI$11</f>
        <v>7.8000000000000007</v>
      </c>
      <c r="J34" s="5">
        <f>$AF$11</f>
        <v>6</v>
      </c>
      <c r="L34" s="167" t="s">
        <v>146</v>
      </c>
      <c r="M34" s="168"/>
      <c r="N34" s="5">
        <f>$AI$11</f>
        <v>7.8000000000000007</v>
      </c>
      <c r="O34" s="5">
        <f>$AF$11</f>
        <v>6</v>
      </c>
      <c r="Q34" s="167" t="s">
        <v>146</v>
      </c>
      <c r="R34" s="168"/>
      <c r="S34" s="5">
        <f>$AI$11</f>
        <v>7.8000000000000007</v>
      </c>
      <c r="T34" s="5">
        <f>$AF$11</f>
        <v>6</v>
      </c>
      <c r="V34" s="167" t="s">
        <v>146</v>
      </c>
      <c r="W34" s="168"/>
      <c r="X34" s="5">
        <f>$AI$11</f>
        <v>7.8000000000000007</v>
      </c>
      <c r="Y34" s="5">
        <f>$AF$11</f>
        <v>6</v>
      </c>
      <c r="AA34" s="90"/>
      <c r="AB34" s="61" t="s">
        <v>102</v>
      </c>
      <c r="AC34" s="142">
        <f>D27</f>
        <v>29.839008749999998</v>
      </c>
      <c r="AD34" s="142">
        <f>I27</f>
        <v>29.839008749999998</v>
      </c>
      <c r="AE34" s="142">
        <f>N27</f>
        <v>24.979071000000001</v>
      </c>
      <c r="AF34" s="142">
        <f>S27</f>
        <v>29.839008749999998</v>
      </c>
      <c r="AG34" s="142">
        <f>X27</f>
        <v>29.839008749999998</v>
      </c>
      <c r="AI34" s="90"/>
      <c r="AJ34" s="61" t="s">
        <v>385</v>
      </c>
      <c r="AK34" s="142">
        <f>E27</f>
        <v>19.9242375</v>
      </c>
      <c r="AL34" s="142">
        <f>J27</f>
        <v>19.9242375</v>
      </c>
      <c r="AM34" s="142">
        <f>O27</f>
        <v>17.714669999999998</v>
      </c>
      <c r="AN34" s="142">
        <f>T27</f>
        <v>19.9242375</v>
      </c>
      <c r="AO34" s="142">
        <f>Y27</f>
        <v>19.9242375</v>
      </c>
    </row>
    <row r="35" spans="1:41" x14ac:dyDescent="0.25">
      <c r="A35" s="12"/>
      <c r="B35" s="273"/>
      <c r="C35" s="274"/>
      <c r="D35" s="5">
        <f>C31*D31+C32*D32+C33*D33+D34</f>
        <v>27.3870735</v>
      </c>
      <c r="E35" s="5">
        <f>C31*E31+C32*E32+C33*E33+E34</f>
        <v>19.151595</v>
      </c>
      <c r="G35" s="273"/>
      <c r="H35" s="274"/>
      <c r="I35" s="5">
        <f>H31*I31+H32*I32+H33*I33+I34</f>
        <v>27.3870735</v>
      </c>
      <c r="J35" s="5">
        <f>H31*J31+H32*J32+H33*J33+J34</f>
        <v>19.151595</v>
      </c>
      <c r="L35" s="273"/>
      <c r="M35" s="274"/>
      <c r="N35" s="5">
        <f>M31*N31+M32*N32+M33*N33+N34</f>
        <v>27.3870735</v>
      </c>
      <c r="O35" s="5">
        <f>M31*O31+M32*O32+M33*O33+O34</f>
        <v>19.151595</v>
      </c>
      <c r="Q35" s="273"/>
      <c r="R35" s="274"/>
      <c r="S35" s="5">
        <f>R31*S31+R32*S32+R33*S33+S34</f>
        <v>27.3870735</v>
      </c>
      <c r="T35" s="5">
        <f>R31*T31+R32*T32+R33*T33+T34</f>
        <v>19.151595</v>
      </c>
      <c r="V35" s="273"/>
      <c r="W35" s="274"/>
      <c r="X35" s="5">
        <f>W31*X31+W32*X32+W33*X33+X34</f>
        <v>27.3870735</v>
      </c>
      <c r="Y35" s="5">
        <f>W31*Y31+W32*Y32+W33*Y33+Y34</f>
        <v>19.151595</v>
      </c>
      <c r="AA35" s="145">
        <v>103</v>
      </c>
      <c r="AB35" s="145"/>
      <c r="AC35" s="145" t="s">
        <v>379</v>
      </c>
      <c r="AD35" s="145" t="s">
        <v>380</v>
      </c>
      <c r="AE35" s="145" t="s">
        <v>381</v>
      </c>
      <c r="AF35" s="145" t="s">
        <v>382</v>
      </c>
      <c r="AG35" s="145" t="s">
        <v>383</v>
      </c>
      <c r="AI35" s="145">
        <v>103</v>
      </c>
      <c r="AJ35" s="145"/>
      <c r="AK35" s="145" t="s">
        <v>379</v>
      </c>
      <c r="AL35" s="145" t="s">
        <v>380</v>
      </c>
      <c r="AM35" s="145" t="s">
        <v>381</v>
      </c>
      <c r="AN35" s="145" t="s">
        <v>382</v>
      </c>
      <c r="AO35" s="145" t="s">
        <v>383</v>
      </c>
    </row>
    <row r="36" spans="1:41" x14ac:dyDescent="0.25">
      <c r="A36" s="12"/>
      <c r="B36" s="179" t="s">
        <v>201</v>
      </c>
      <c r="C36" s="181"/>
      <c r="D36" s="144">
        <f>E36*1.3</f>
        <v>4.758</v>
      </c>
      <c r="E36" s="5">
        <f>(0.3*E3*1*25)-0.3*2.8</f>
        <v>3.66</v>
      </c>
      <c r="G36" s="179" t="s">
        <v>201</v>
      </c>
      <c r="H36" s="181"/>
      <c r="I36" s="144">
        <f>J36*1.3</f>
        <v>4.758</v>
      </c>
      <c r="J36" s="5">
        <f>(0.3*E3*1*25)-0.3*2.8</f>
        <v>3.66</v>
      </c>
      <c r="L36" s="179" t="s">
        <v>201</v>
      </c>
      <c r="M36" s="181"/>
      <c r="N36" s="144">
        <f>O36*1.3</f>
        <v>4.758</v>
      </c>
      <c r="O36" s="5">
        <f>(0.3*E3*1*25)-0.3*2.8</f>
        <v>3.66</v>
      </c>
      <c r="Q36" s="179" t="s">
        <v>201</v>
      </c>
      <c r="R36" s="181"/>
      <c r="S36" s="144">
        <f>T36*1.3</f>
        <v>4.758</v>
      </c>
      <c r="T36" s="5">
        <f>(0.3*E3*1*25)-0.3*2.8</f>
        <v>3.66</v>
      </c>
      <c r="V36" s="179" t="s">
        <v>201</v>
      </c>
      <c r="W36" s="181"/>
      <c r="X36" s="144">
        <f>Y36*1.3</f>
        <v>4.758</v>
      </c>
      <c r="Y36" s="5">
        <f>(0.3*E3*1*25)-0.3*2.8</f>
        <v>3.66</v>
      </c>
      <c r="AA36" s="146"/>
      <c r="AB36" s="61" t="s">
        <v>102</v>
      </c>
      <c r="AC36" s="142">
        <f>D16</f>
        <v>32.383940250000002</v>
      </c>
      <c r="AD36" s="142">
        <f>I16</f>
        <v>32.383940250000002</v>
      </c>
      <c r="AE36" s="142">
        <f>N16</f>
        <v>19.724002500000001</v>
      </c>
      <c r="AF36" s="142">
        <f>S16</f>
        <v>32.383940250000002</v>
      </c>
      <c r="AG36" s="142">
        <f>X16</f>
        <v>32.383940250000002</v>
      </c>
      <c r="AI36" s="146"/>
      <c r="AJ36" s="61" t="s">
        <v>385</v>
      </c>
      <c r="AK36" s="142">
        <f>E16</f>
        <v>22.966492500000001</v>
      </c>
      <c r="AL36" s="142">
        <f>J16</f>
        <v>22.966492500000001</v>
      </c>
      <c r="AM36" s="142">
        <f>O16</f>
        <v>14.756924999999999</v>
      </c>
      <c r="AN36" s="142">
        <f>T16</f>
        <v>22.966492500000001</v>
      </c>
      <c r="AO36" s="142">
        <f>Y16</f>
        <v>22.966492500000001</v>
      </c>
    </row>
    <row r="37" spans="1:41" ht="15.75" thickBot="1" x14ac:dyDescent="0.3">
      <c r="A37" s="12"/>
      <c r="B37" s="330" t="s">
        <v>109</v>
      </c>
      <c r="C37" s="331"/>
      <c r="D37" s="5">
        <f>SUM(D35:D36)</f>
        <v>32.145073500000002</v>
      </c>
      <c r="E37" s="5">
        <f>SUM(E35:E36)</f>
        <v>22.811595000000001</v>
      </c>
      <c r="G37" s="179" t="s">
        <v>109</v>
      </c>
      <c r="H37" s="181"/>
      <c r="I37" s="5">
        <f>SUM(I35:I36)</f>
        <v>32.145073500000002</v>
      </c>
      <c r="J37" s="5">
        <f>SUM(J35:J36)</f>
        <v>22.811595000000001</v>
      </c>
      <c r="L37" s="179" t="s">
        <v>109</v>
      </c>
      <c r="M37" s="181"/>
      <c r="N37" s="5">
        <f>SUM(N35:N36)</f>
        <v>32.145073500000002</v>
      </c>
      <c r="O37" s="5">
        <f>SUM(O35:O36)</f>
        <v>22.811595000000001</v>
      </c>
      <c r="Q37" s="179" t="s">
        <v>109</v>
      </c>
      <c r="R37" s="181"/>
      <c r="S37" s="5">
        <f>SUM(S35:S36)</f>
        <v>32.145073500000002</v>
      </c>
      <c r="T37" s="5">
        <f>SUM(T35:T36)</f>
        <v>22.811595000000001</v>
      </c>
      <c r="V37" s="179" t="s">
        <v>109</v>
      </c>
      <c r="W37" s="181"/>
      <c r="X37" s="5">
        <f>SUM(X35:X36)</f>
        <v>32.145073500000002</v>
      </c>
      <c r="Y37" s="5">
        <f>SUM(Y35:Y36)</f>
        <v>22.811595000000001</v>
      </c>
    </row>
    <row r="38" spans="1:41" ht="16.5" thickTop="1" x14ac:dyDescent="0.25">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147" t="s">
        <v>386</v>
      </c>
    </row>
    <row r="40" spans="1:41" ht="15.75" x14ac:dyDescent="0.25">
      <c r="A40" s="148" t="s">
        <v>387</v>
      </c>
      <c r="B40" s="267" t="s">
        <v>258</v>
      </c>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2"/>
      <c r="AF40" s="219" t="s">
        <v>388</v>
      </c>
      <c r="AG40" s="220"/>
      <c r="AH40" s="220"/>
      <c r="AI40" s="221"/>
      <c r="AJ40"/>
      <c r="AK40" s="219" t="s">
        <v>389</v>
      </c>
      <c r="AL40" s="220"/>
      <c r="AM40" s="220"/>
      <c r="AN40" s="221"/>
    </row>
    <row r="41" spans="1:41" ht="15" customHeight="1" x14ac:dyDescent="0.25">
      <c r="A41" s="326" t="s">
        <v>390</v>
      </c>
      <c r="B41" s="323"/>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5"/>
      <c r="AF41" s="140" t="s">
        <v>367</v>
      </c>
      <c r="AG41" s="149"/>
      <c r="AH41" s="328" t="s">
        <v>391</v>
      </c>
      <c r="AI41" s="329"/>
      <c r="AJ41"/>
      <c r="AK41" s="140" t="s">
        <v>367</v>
      </c>
      <c r="AL41" s="149"/>
      <c r="AM41" s="328" t="s">
        <v>391</v>
      </c>
      <c r="AN41" s="329"/>
    </row>
    <row r="42" spans="1:41" ht="18.75" x14ac:dyDescent="0.25">
      <c r="A42" s="327"/>
      <c r="B42" s="275" t="s">
        <v>207</v>
      </c>
      <c r="C42" s="276"/>
      <c r="D42" s="276"/>
      <c r="E42" s="277"/>
      <c r="F42" s="131"/>
      <c r="G42" s="275" t="s">
        <v>209</v>
      </c>
      <c r="H42" s="276"/>
      <c r="I42" s="276"/>
      <c r="J42" s="277"/>
      <c r="K42" s="131"/>
      <c r="L42" s="275" t="s">
        <v>211</v>
      </c>
      <c r="M42" s="276"/>
      <c r="N42" s="276"/>
      <c r="O42" s="277"/>
      <c r="P42" s="131"/>
      <c r="Q42" s="275" t="s">
        <v>213</v>
      </c>
      <c r="R42" s="276"/>
      <c r="S42" s="276"/>
      <c r="T42" s="277"/>
      <c r="U42" s="131"/>
      <c r="V42" s="275" t="s">
        <v>128</v>
      </c>
      <c r="W42" s="276"/>
      <c r="X42" s="276"/>
      <c r="Y42" s="277"/>
      <c r="Z42" s="60"/>
      <c r="AA42" s="275" t="s">
        <v>129</v>
      </c>
      <c r="AB42" s="276"/>
      <c r="AC42" s="276"/>
      <c r="AD42" s="277"/>
      <c r="AF42" s="150">
        <v>104</v>
      </c>
      <c r="AG42" s="150"/>
      <c r="AH42" s="150" t="s">
        <v>392</v>
      </c>
      <c r="AI42" s="150" t="s">
        <v>393</v>
      </c>
      <c r="AJ42"/>
      <c r="AK42" s="150">
        <v>104</v>
      </c>
      <c r="AL42" s="150"/>
      <c r="AM42" s="150" t="s">
        <v>392</v>
      </c>
      <c r="AN42" s="150" t="s">
        <v>393</v>
      </c>
    </row>
    <row r="43" spans="1:41" ht="18" x14ac:dyDescent="0.25">
      <c r="A43" s="319"/>
      <c r="B43" s="119"/>
      <c r="C43" s="122" t="s">
        <v>140</v>
      </c>
      <c r="D43" s="122" t="s">
        <v>141</v>
      </c>
      <c r="E43" s="122" t="s">
        <v>202</v>
      </c>
      <c r="F43" s="131"/>
      <c r="G43" s="119"/>
      <c r="H43" s="122" t="s">
        <v>140</v>
      </c>
      <c r="I43" s="122" t="s">
        <v>141</v>
      </c>
      <c r="J43" s="122" t="s">
        <v>202</v>
      </c>
      <c r="K43" s="131"/>
      <c r="L43" s="119"/>
      <c r="M43" s="122" t="s">
        <v>140</v>
      </c>
      <c r="N43" s="122" t="s">
        <v>141</v>
      </c>
      <c r="O43" s="122" t="s">
        <v>202</v>
      </c>
      <c r="P43" s="131"/>
      <c r="Q43" s="119"/>
      <c r="R43" s="122" t="s">
        <v>140</v>
      </c>
      <c r="S43" s="122" t="s">
        <v>141</v>
      </c>
      <c r="T43" s="122" t="s">
        <v>202</v>
      </c>
      <c r="U43" s="131"/>
      <c r="V43" s="119"/>
      <c r="W43" s="122" t="s">
        <v>140</v>
      </c>
      <c r="X43" s="122" t="s">
        <v>141</v>
      </c>
      <c r="Y43" s="122" t="s">
        <v>202</v>
      </c>
      <c r="Z43" s="60"/>
      <c r="AA43" s="119"/>
      <c r="AB43" s="122" t="s">
        <v>140</v>
      </c>
      <c r="AC43" s="122" t="s">
        <v>141</v>
      </c>
      <c r="AD43" s="122" t="s">
        <v>202</v>
      </c>
      <c r="AF43" s="151"/>
      <c r="AG43" s="61" t="s">
        <v>102</v>
      </c>
      <c r="AH43" s="142">
        <f>D61</f>
        <v>14.9466675</v>
      </c>
      <c r="AI43" s="142">
        <f>D50</f>
        <v>14.9466675</v>
      </c>
      <c r="AJ43"/>
      <c r="AK43" s="151"/>
      <c r="AL43" s="61" t="s">
        <v>385</v>
      </c>
      <c r="AM43" s="142">
        <f>E61</f>
        <v>11.208975000000001</v>
      </c>
      <c r="AN43" s="142">
        <f>E50</f>
        <v>11.208975000000001</v>
      </c>
    </row>
    <row r="44" spans="1:41" x14ac:dyDescent="0.25">
      <c r="A44" s="319"/>
      <c r="B44" s="119" t="s">
        <v>142</v>
      </c>
      <c r="C44" s="5">
        <v>0.5</v>
      </c>
      <c r="D44" s="5">
        <f>$AI$8</f>
        <v>4.7773349999999999</v>
      </c>
      <c r="E44" s="5">
        <f>$AF$8</f>
        <v>3.09795</v>
      </c>
      <c r="F44" s="131"/>
      <c r="G44" s="119" t="s">
        <v>142</v>
      </c>
      <c r="H44" s="5">
        <v>1</v>
      </c>
      <c r="I44" s="5">
        <f>$AI$8</f>
        <v>4.7773349999999999</v>
      </c>
      <c r="J44" s="5">
        <f>$AF$8</f>
        <v>3.09795</v>
      </c>
      <c r="K44" s="131"/>
      <c r="L44" s="119" t="s">
        <v>142</v>
      </c>
      <c r="M44" s="5">
        <v>0.5</v>
      </c>
      <c r="N44" s="5">
        <f>$AI$8</f>
        <v>4.7773349999999999</v>
      </c>
      <c r="O44" s="5">
        <f>$AF$8</f>
        <v>3.09795</v>
      </c>
      <c r="P44" s="131"/>
      <c r="Q44" s="119" t="s">
        <v>142</v>
      </c>
      <c r="R44" s="5">
        <v>0.5</v>
      </c>
      <c r="S44" s="5">
        <f>$AI$8</f>
        <v>4.7773349999999999</v>
      </c>
      <c r="T44" s="5">
        <f>$AF$8</f>
        <v>3.09795</v>
      </c>
      <c r="U44" s="131"/>
      <c r="V44" s="119" t="s">
        <v>142</v>
      </c>
      <c r="W44" s="5">
        <v>1</v>
      </c>
      <c r="X44" s="5">
        <f>$AI$8</f>
        <v>4.7773349999999999</v>
      </c>
      <c r="Y44" s="5">
        <f>$AF$8</f>
        <v>3.09795</v>
      </c>
      <c r="Z44" s="60"/>
      <c r="AA44" s="119" t="s">
        <v>142</v>
      </c>
      <c r="AB44" s="5">
        <v>0.5</v>
      </c>
      <c r="AC44" s="5">
        <f>$AI$8</f>
        <v>4.7773349999999999</v>
      </c>
      <c r="AD44" s="5">
        <f>$AF$8</f>
        <v>3.09795</v>
      </c>
      <c r="AF44" s="152">
        <v>105</v>
      </c>
      <c r="AG44" s="152"/>
      <c r="AH44" s="152" t="s">
        <v>394</v>
      </c>
      <c r="AI44" s="152" t="s">
        <v>395</v>
      </c>
      <c r="AJ44"/>
      <c r="AK44" s="152">
        <v>105</v>
      </c>
      <c r="AL44" s="152"/>
      <c r="AM44" s="152" t="s">
        <v>394</v>
      </c>
      <c r="AN44" s="152" t="s">
        <v>395</v>
      </c>
    </row>
    <row r="45" spans="1:41" x14ac:dyDescent="0.25">
      <c r="A45" s="319"/>
      <c r="B45" s="119" t="s">
        <v>143</v>
      </c>
      <c r="C45" s="5">
        <v>0</v>
      </c>
      <c r="D45" s="5">
        <f>$AI$9</f>
        <v>4.7773349999999999</v>
      </c>
      <c r="E45" s="5">
        <f>$AF$9</f>
        <v>3.3979499999999998</v>
      </c>
      <c r="F45" s="131"/>
      <c r="G45" s="119" t="s">
        <v>143</v>
      </c>
      <c r="H45" s="5">
        <v>0</v>
      </c>
      <c r="I45" s="5">
        <f>$AI$9</f>
        <v>4.7773349999999999</v>
      </c>
      <c r="J45" s="5">
        <f>$AF$9</f>
        <v>3.3979499999999998</v>
      </c>
      <c r="K45" s="131"/>
      <c r="L45" s="119" t="s">
        <v>143</v>
      </c>
      <c r="M45" s="5">
        <v>0</v>
      </c>
      <c r="N45" s="5">
        <f>$AI$9</f>
        <v>4.7773349999999999</v>
      </c>
      <c r="O45" s="5">
        <f>$AF$9</f>
        <v>3.3979499999999998</v>
      </c>
      <c r="P45" s="131"/>
      <c r="Q45" s="119" t="s">
        <v>143</v>
      </c>
      <c r="R45" s="5">
        <v>0</v>
      </c>
      <c r="S45" s="5">
        <f>$AI$9</f>
        <v>4.7773349999999999</v>
      </c>
      <c r="T45" s="5">
        <f>$AF$9</f>
        <v>3.3979499999999998</v>
      </c>
      <c r="U45" s="131"/>
      <c r="V45" s="119" t="s">
        <v>143</v>
      </c>
      <c r="W45" s="5">
        <v>0</v>
      </c>
      <c r="X45" s="5">
        <f>$AI$9</f>
        <v>4.7773349999999999</v>
      </c>
      <c r="Y45" s="5">
        <f>$AF$9</f>
        <v>3.3979499999999998</v>
      </c>
      <c r="Z45" s="60"/>
      <c r="AA45" s="119" t="s">
        <v>143</v>
      </c>
      <c r="AB45" s="5">
        <v>0</v>
      </c>
      <c r="AC45" s="5">
        <f>$AI$9</f>
        <v>4.7773349999999999</v>
      </c>
      <c r="AD45" s="5">
        <f>$AF$9</f>
        <v>3.3979499999999998</v>
      </c>
      <c r="AF45" s="151"/>
      <c r="AG45" s="61" t="s">
        <v>102</v>
      </c>
      <c r="AH45" s="142">
        <f>I61</f>
        <v>5.8303349999999998</v>
      </c>
      <c r="AI45" s="142">
        <f>I50</f>
        <v>5.8303349999999998</v>
      </c>
      <c r="AJ45"/>
      <c r="AK45" s="151"/>
      <c r="AL45" s="61" t="s">
        <v>385</v>
      </c>
      <c r="AM45" s="142">
        <f>J61</f>
        <v>3.90795</v>
      </c>
      <c r="AN45" s="142">
        <f>J50</f>
        <v>3.90795</v>
      </c>
    </row>
    <row r="46" spans="1:41" x14ac:dyDescent="0.25">
      <c r="A46" s="319"/>
      <c r="B46" s="119" t="s">
        <v>145</v>
      </c>
      <c r="C46" s="5">
        <v>0</v>
      </c>
      <c r="D46" s="5">
        <f>$AI$10</f>
        <v>17.240725948587251</v>
      </c>
      <c r="E46" s="5">
        <f>$AF$10</f>
        <v>11.04671226814404</v>
      </c>
      <c r="F46" s="131"/>
      <c r="G46" s="119" t="s">
        <v>145</v>
      </c>
      <c r="H46" s="5">
        <v>0</v>
      </c>
      <c r="I46" s="5">
        <f>$AI$10</f>
        <v>17.240725948587251</v>
      </c>
      <c r="J46" s="5">
        <f>$AF$10</f>
        <v>11.04671226814404</v>
      </c>
      <c r="K46" s="131"/>
      <c r="L46" s="119" t="s">
        <v>145</v>
      </c>
      <c r="M46" s="5">
        <v>0</v>
      </c>
      <c r="N46" s="5">
        <f>$AI$10</f>
        <v>17.240725948587251</v>
      </c>
      <c r="O46" s="5">
        <f>$AF$10</f>
        <v>11.04671226814404</v>
      </c>
      <c r="P46" s="131"/>
      <c r="Q46" s="119" t="s">
        <v>145</v>
      </c>
      <c r="R46" s="5">
        <v>0</v>
      </c>
      <c r="S46" s="5">
        <f>$AI$10</f>
        <v>17.240725948587251</v>
      </c>
      <c r="T46" s="5">
        <f>$AF$10</f>
        <v>11.04671226814404</v>
      </c>
      <c r="U46" s="131"/>
      <c r="V46" s="119" t="s">
        <v>145</v>
      </c>
      <c r="W46" s="5">
        <v>0</v>
      </c>
      <c r="X46" s="5">
        <f>$AI$10</f>
        <v>17.240725948587251</v>
      </c>
      <c r="Y46" s="5">
        <f>$AF$10</f>
        <v>11.04671226814404</v>
      </c>
      <c r="Z46" s="60"/>
      <c r="AA46" s="119" t="s">
        <v>145</v>
      </c>
      <c r="AB46" s="5">
        <v>0</v>
      </c>
      <c r="AC46" s="5">
        <f>$AI$10</f>
        <v>17.240725948587251</v>
      </c>
      <c r="AD46" s="5">
        <f>$AF$10</f>
        <v>11.04671226814404</v>
      </c>
      <c r="AF46" s="153">
        <v>106</v>
      </c>
      <c r="AG46" s="153"/>
      <c r="AH46" s="153" t="s">
        <v>396</v>
      </c>
      <c r="AI46" s="153" t="s">
        <v>397</v>
      </c>
      <c r="AJ46"/>
      <c r="AK46" s="153">
        <v>106</v>
      </c>
      <c r="AL46" s="153"/>
      <c r="AM46" s="153" t="s">
        <v>396</v>
      </c>
      <c r="AN46" s="153" t="s">
        <v>397</v>
      </c>
    </row>
    <row r="47" spans="1:41" x14ac:dyDescent="0.25">
      <c r="A47" s="319"/>
      <c r="B47" s="120" t="s">
        <v>146</v>
      </c>
      <c r="C47" s="121"/>
      <c r="D47" s="5">
        <f>$AI$11</f>
        <v>7.8000000000000007</v>
      </c>
      <c r="E47" s="5">
        <f>$AF$11</f>
        <v>6</v>
      </c>
      <c r="F47" s="131"/>
      <c r="G47" s="43" t="s">
        <v>146</v>
      </c>
      <c r="H47" s="44"/>
      <c r="I47" s="5">
        <v>0</v>
      </c>
      <c r="J47" s="5">
        <v>0</v>
      </c>
      <c r="K47" s="131"/>
      <c r="L47" s="43" t="s">
        <v>146</v>
      </c>
      <c r="M47" s="44"/>
      <c r="N47" s="5">
        <v>7.8</v>
      </c>
      <c r="O47" s="5">
        <v>6</v>
      </c>
      <c r="P47" s="131"/>
      <c r="Q47" s="120" t="s">
        <v>146</v>
      </c>
      <c r="R47" s="121"/>
      <c r="S47" s="5">
        <f>$AI$11</f>
        <v>7.8000000000000007</v>
      </c>
      <c r="T47" s="5">
        <f>$AF$11</f>
        <v>6</v>
      </c>
      <c r="U47" s="131"/>
      <c r="V47" s="120" t="s">
        <v>146</v>
      </c>
      <c r="W47" s="121"/>
      <c r="X47" s="5">
        <v>0</v>
      </c>
      <c r="Y47" s="5">
        <v>0</v>
      </c>
      <c r="Z47" s="60"/>
      <c r="AA47" s="120" t="s">
        <v>146</v>
      </c>
      <c r="AB47" s="121"/>
      <c r="AC47" s="5">
        <f>$AI$11</f>
        <v>7.8000000000000007</v>
      </c>
      <c r="AD47" s="5">
        <f>$AF$11</f>
        <v>6</v>
      </c>
      <c r="AF47" s="151"/>
      <c r="AG47" s="61" t="s">
        <v>102</v>
      </c>
      <c r="AH47" s="142">
        <f>N61</f>
        <v>17.335335000000001</v>
      </c>
      <c r="AI47" s="142">
        <f>N50</f>
        <v>14.9466675</v>
      </c>
      <c r="AJ47"/>
      <c r="AK47" s="151"/>
      <c r="AL47" s="61" t="s">
        <v>385</v>
      </c>
      <c r="AM47" s="142">
        <f>O61</f>
        <v>12.757950000000001</v>
      </c>
      <c r="AN47" s="142">
        <f>O50</f>
        <v>11.208975000000001</v>
      </c>
    </row>
    <row r="48" spans="1:41" x14ac:dyDescent="0.25">
      <c r="A48" s="319"/>
      <c r="B48" s="129"/>
      <c r="C48" s="130"/>
      <c r="D48" s="5">
        <f>C44*D44+C45*D45+C46*D46+D47</f>
        <v>10.188667500000001</v>
      </c>
      <c r="E48" s="5">
        <f>C44*E44+C45*E45+C46*E46+E47</f>
        <v>7.5489750000000004</v>
      </c>
      <c r="F48" s="131"/>
      <c r="G48" s="45"/>
      <c r="H48" s="46"/>
      <c r="I48" s="5">
        <f>H44*I44+H45*I45+H46*I46+I47</f>
        <v>4.7773349999999999</v>
      </c>
      <c r="J48" s="5">
        <f>H44*J44+H45*J45+H46*J46+J47</f>
        <v>3.09795</v>
      </c>
      <c r="K48" s="131"/>
      <c r="L48" s="45"/>
      <c r="M48" s="46"/>
      <c r="N48" s="5">
        <f>M44*N44+M45*N45+M46*N46+N47</f>
        <v>10.188667499999999</v>
      </c>
      <c r="O48" s="5">
        <f>M44*O44+M45*O45+M46*O46+O47</f>
        <v>7.5489750000000004</v>
      </c>
      <c r="P48" s="131"/>
      <c r="Q48" s="129"/>
      <c r="R48" s="130"/>
      <c r="S48" s="5">
        <f>R44*S44+R45*S45+R46*S46+S47</f>
        <v>10.188667500000001</v>
      </c>
      <c r="T48" s="5">
        <f>R44*T44+R45*T45+R46*T46+T47</f>
        <v>7.5489750000000004</v>
      </c>
      <c r="U48" s="131"/>
      <c r="V48" s="129"/>
      <c r="W48" s="130"/>
      <c r="X48" s="5">
        <f>W44*X44+W45*X45+W46*X46+X47</f>
        <v>4.7773349999999999</v>
      </c>
      <c r="Y48" s="5">
        <f>W44*Y44+W45*Y45+W46*Y46+Y47</f>
        <v>3.09795</v>
      </c>
      <c r="Z48" s="60"/>
      <c r="AA48" s="129"/>
      <c r="AB48" s="130"/>
      <c r="AC48" s="5">
        <f>AB44*AC44+AB45*AC45+AB46*AC46+AC47</f>
        <v>10.188667500000001</v>
      </c>
      <c r="AD48" s="5">
        <f>AB44*AD44+AB45*AD45+AB46*AD46+AD47</f>
        <v>7.5489750000000004</v>
      </c>
      <c r="AF48" s="154">
        <v>107</v>
      </c>
      <c r="AG48" s="154"/>
      <c r="AH48" s="154" t="s">
        <v>398</v>
      </c>
      <c r="AI48" s="154" t="s">
        <v>399</v>
      </c>
      <c r="AJ48"/>
      <c r="AK48" s="154">
        <v>107</v>
      </c>
      <c r="AL48" s="154"/>
      <c r="AM48" s="154" t="s">
        <v>398</v>
      </c>
      <c r="AN48" s="154" t="s">
        <v>399</v>
      </c>
    </row>
    <row r="49" spans="1:40" x14ac:dyDescent="0.25">
      <c r="A49" s="319"/>
      <c r="B49" s="179" t="s">
        <v>201</v>
      </c>
      <c r="C49" s="181"/>
      <c r="D49" s="144">
        <f>E49*1.3</f>
        <v>4.758</v>
      </c>
      <c r="E49" s="5">
        <f>(0.3*E3*1*25)-0.3*2.8</f>
        <v>3.66</v>
      </c>
      <c r="F49" s="131"/>
      <c r="G49" s="179" t="s">
        <v>201</v>
      </c>
      <c r="H49" s="181"/>
      <c r="I49" s="144">
        <f>J49*1.3</f>
        <v>1.0530000000000002</v>
      </c>
      <c r="J49" s="5">
        <f>(0.3*I3*1*25)-0.3*2.8</f>
        <v>0.81000000000000016</v>
      </c>
      <c r="K49" s="131"/>
      <c r="L49" s="179" t="s">
        <v>201</v>
      </c>
      <c r="M49" s="181"/>
      <c r="N49" s="144">
        <f>O49*1.3</f>
        <v>4.758</v>
      </c>
      <c r="O49" s="5">
        <f>(0.3*E3*1*25)-0.3*2.8</f>
        <v>3.66</v>
      </c>
      <c r="P49" s="131"/>
      <c r="Q49" s="179" t="s">
        <v>201</v>
      </c>
      <c r="R49" s="181"/>
      <c r="S49" s="144">
        <f>T49*1.3</f>
        <v>4.758</v>
      </c>
      <c r="T49" s="5">
        <f>(0.3*E3*1*25)-0.3*2.8</f>
        <v>3.66</v>
      </c>
      <c r="U49" s="131"/>
      <c r="V49" s="179" t="s">
        <v>201</v>
      </c>
      <c r="W49" s="181"/>
      <c r="X49" s="144">
        <f>Y49*1.3</f>
        <v>1.0530000000000002</v>
      </c>
      <c r="Y49" s="5">
        <f>(0.3*I3*1*25)-0.3*2.8</f>
        <v>0.81000000000000016</v>
      </c>
      <c r="Z49" s="60"/>
      <c r="AA49" s="179" t="s">
        <v>201</v>
      </c>
      <c r="AB49" s="181"/>
      <c r="AC49" s="144">
        <f>AD49*1.3</f>
        <v>4.758</v>
      </c>
      <c r="AD49" s="5">
        <f>(0.3*E3*1*25)-0.3*2.8</f>
        <v>3.66</v>
      </c>
      <c r="AF49" s="151"/>
      <c r="AG49" s="61" t="s">
        <v>102</v>
      </c>
      <c r="AH49" s="142">
        <f>S61</f>
        <v>9.5353349999999999</v>
      </c>
      <c r="AI49" s="142">
        <f>S50</f>
        <v>14.9466675</v>
      </c>
      <c r="AJ49"/>
      <c r="AK49" s="151"/>
      <c r="AL49" s="61" t="s">
        <v>385</v>
      </c>
      <c r="AM49" s="142">
        <f>T61</f>
        <v>6.7579500000000001</v>
      </c>
      <c r="AN49" s="142">
        <f>T50</f>
        <v>11.208975000000001</v>
      </c>
    </row>
    <row r="50" spans="1:40" x14ac:dyDescent="0.25">
      <c r="A50" s="319"/>
      <c r="B50" s="123" t="s">
        <v>109</v>
      </c>
      <c r="C50" s="124"/>
      <c r="D50" s="5">
        <f>SUM(D48:D49)</f>
        <v>14.9466675</v>
      </c>
      <c r="E50" s="5">
        <f>SUM(E48:E49)</f>
        <v>11.208975000000001</v>
      </c>
      <c r="F50" s="131"/>
      <c r="G50" s="43" t="s">
        <v>109</v>
      </c>
      <c r="H50" s="44"/>
      <c r="I50" s="5">
        <f>SUM(I48:I49)</f>
        <v>5.8303349999999998</v>
      </c>
      <c r="J50" s="5">
        <f>SUM(J48:J49)</f>
        <v>3.90795</v>
      </c>
      <c r="K50" s="131"/>
      <c r="L50" s="43" t="s">
        <v>109</v>
      </c>
      <c r="M50" s="44"/>
      <c r="N50" s="5">
        <f>SUM(N48:N49)</f>
        <v>14.9466675</v>
      </c>
      <c r="O50" s="5">
        <f>SUM(O48:O49)</f>
        <v>11.208975000000001</v>
      </c>
      <c r="P50" s="131"/>
      <c r="Q50" s="123" t="s">
        <v>109</v>
      </c>
      <c r="R50" s="124"/>
      <c r="S50" s="5">
        <f>SUM(S48:S49)</f>
        <v>14.9466675</v>
      </c>
      <c r="T50" s="5">
        <f>SUM(T48:T49)</f>
        <v>11.208975000000001</v>
      </c>
      <c r="U50" s="131"/>
      <c r="V50" s="123" t="s">
        <v>109</v>
      </c>
      <c r="W50" s="124"/>
      <c r="X50" s="5">
        <f>SUM(X48:X49)</f>
        <v>5.8303349999999998</v>
      </c>
      <c r="Y50" s="5">
        <f>SUM(Y48:Y49)</f>
        <v>3.90795</v>
      </c>
      <c r="Z50" s="60"/>
      <c r="AA50" s="123" t="s">
        <v>109</v>
      </c>
      <c r="AB50" s="124"/>
      <c r="AC50" s="5">
        <f>SUM(AC48:AC49)</f>
        <v>14.9466675</v>
      </c>
      <c r="AD50" s="5">
        <f>SUM(AD48:AD49)</f>
        <v>11.208975000000001</v>
      </c>
      <c r="AF50" s="155">
        <v>108</v>
      </c>
      <c r="AG50" s="155"/>
      <c r="AH50" s="155" t="s">
        <v>400</v>
      </c>
      <c r="AI50" s="155" t="s">
        <v>401</v>
      </c>
      <c r="AJ50"/>
      <c r="AK50" s="155">
        <v>108</v>
      </c>
      <c r="AL50" s="155"/>
      <c r="AM50" s="155" t="s">
        <v>400</v>
      </c>
      <c r="AN50" s="155" t="s">
        <v>401</v>
      </c>
    </row>
    <row r="51" spans="1:40" x14ac:dyDescent="0.25">
      <c r="A51" s="319"/>
      <c r="B51" s="128"/>
      <c r="C51" s="128"/>
      <c r="D51" s="128"/>
      <c r="E51" s="128"/>
      <c r="F51" s="131"/>
      <c r="G51" s="128"/>
      <c r="H51" s="128"/>
      <c r="I51" s="128"/>
      <c r="J51" s="128"/>
      <c r="K51" s="131"/>
      <c r="L51" s="128"/>
      <c r="M51" s="128"/>
      <c r="N51" s="128"/>
      <c r="O51" s="128"/>
      <c r="P51" s="131"/>
      <c r="Q51" s="128"/>
      <c r="R51" s="128"/>
      <c r="S51" s="128"/>
      <c r="T51" s="128"/>
      <c r="U51" s="131"/>
      <c r="V51" s="128"/>
      <c r="W51" s="128"/>
      <c r="X51" s="128"/>
      <c r="Y51" s="128"/>
      <c r="Z51" s="60"/>
      <c r="AA51" s="128"/>
      <c r="AB51" s="128"/>
      <c r="AC51" s="128"/>
      <c r="AD51" s="128"/>
      <c r="AF51" s="151"/>
      <c r="AG51" s="61" t="s">
        <v>102</v>
      </c>
      <c r="AH51" s="142">
        <f>X61</f>
        <v>5.8303349999999998</v>
      </c>
      <c r="AI51" s="142">
        <f>X50</f>
        <v>5.8303349999999998</v>
      </c>
      <c r="AJ51"/>
      <c r="AK51" s="151"/>
      <c r="AL51" s="61" t="s">
        <v>385</v>
      </c>
      <c r="AM51" s="142">
        <f>Y61</f>
        <v>3.90795</v>
      </c>
      <c r="AN51" s="142">
        <f>Y50</f>
        <v>3.90795</v>
      </c>
    </row>
    <row r="52" spans="1:40" x14ac:dyDescent="0.25">
      <c r="A52" s="319"/>
      <c r="B52" s="74"/>
      <c r="C52" s="74"/>
      <c r="D52" s="74"/>
      <c r="E52" s="74"/>
      <c r="F52" s="131"/>
      <c r="G52" s="74"/>
      <c r="H52" s="74"/>
      <c r="I52" s="74"/>
      <c r="J52" s="74"/>
      <c r="K52" s="131"/>
      <c r="L52" s="74"/>
      <c r="M52" s="74"/>
      <c r="N52" s="74"/>
      <c r="O52" s="74"/>
      <c r="P52" s="131"/>
      <c r="Q52" s="74"/>
      <c r="R52" s="74"/>
      <c r="S52" s="74"/>
      <c r="T52" s="74"/>
      <c r="U52" s="131"/>
      <c r="V52" s="74"/>
      <c r="W52" s="74"/>
      <c r="X52" s="74"/>
      <c r="Y52" s="74"/>
      <c r="Z52" s="60"/>
      <c r="AA52" s="74"/>
      <c r="AB52" s="74"/>
      <c r="AC52" s="74"/>
      <c r="AD52" s="74"/>
      <c r="AF52" s="41">
        <v>109</v>
      </c>
      <c r="AG52" s="41"/>
      <c r="AH52" s="41" t="s">
        <v>402</v>
      </c>
      <c r="AI52" s="41" t="s">
        <v>403</v>
      </c>
      <c r="AJ52"/>
      <c r="AK52" s="41">
        <v>109</v>
      </c>
      <c r="AL52" s="41"/>
      <c r="AM52" s="41" t="s">
        <v>402</v>
      </c>
      <c r="AN52" s="41" t="s">
        <v>403</v>
      </c>
    </row>
    <row r="53" spans="1:40" ht="18.75" x14ac:dyDescent="0.25">
      <c r="A53" s="319"/>
      <c r="B53" s="284" t="s">
        <v>206</v>
      </c>
      <c r="C53" s="285"/>
      <c r="D53" s="285"/>
      <c r="E53" s="286"/>
      <c r="G53" s="284" t="s">
        <v>208</v>
      </c>
      <c r="H53" s="285"/>
      <c r="I53" s="285"/>
      <c r="J53" s="286"/>
      <c r="L53" s="284" t="s">
        <v>210</v>
      </c>
      <c r="M53" s="285"/>
      <c r="N53" s="285"/>
      <c r="O53" s="286"/>
      <c r="Q53" s="284" t="s">
        <v>212</v>
      </c>
      <c r="R53" s="285"/>
      <c r="S53" s="285"/>
      <c r="T53" s="286"/>
      <c r="V53" s="284" t="s">
        <v>214</v>
      </c>
      <c r="W53" s="285"/>
      <c r="X53" s="285"/>
      <c r="Y53" s="286"/>
      <c r="AA53" s="284" t="s">
        <v>215</v>
      </c>
      <c r="AB53" s="285"/>
      <c r="AC53" s="285"/>
      <c r="AD53" s="286"/>
      <c r="AF53" s="24"/>
      <c r="AG53" s="61" t="s">
        <v>102</v>
      </c>
      <c r="AH53" s="142">
        <f>AC61</f>
        <v>14.9466675</v>
      </c>
      <c r="AI53" s="142">
        <f>AC50</f>
        <v>14.9466675</v>
      </c>
      <c r="AJ53"/>
      <c r="AK53" s="24"/>
      <c r="AL53" s="61" t="s">
        <v>385</v>
      </c>
      <c r="AM53" s="142">
        <f>AD61</f>
        <v>11.208975000000001</v>
      </c>
      <c r="AN53" s="142">
        <f>AD50</f>
        <v>11.208975000000001</v>
      </c>
    </row>
    <row r="54" spans="1:40" ht="18" x14ac:dyDescent="0.25">
      <c r="A54" s="319"/>
      <c r="B54" s="119"/>
      <c r="C54" s="122" t="s">
        <v>140</v>
      </c>
      <c r="D54" s="122" t="s">
        <v>141</v>
      </c>
      <c r="E54" s="122" t="s">
        <v>202</v>
      </c>
      <c r="G54" s="119"/>
      <c r="H54" s="122" t="s">
        <v>140</v>
      </c>
      <c r="I54" s="122" t="s">
        <v>141</v>
      </c>
      <c r="J54" s="122" t="s">
        <v>202</v>
      </c>
      <c r="L54" s="119"/>
      <c r="M54" s="122" t="s">
        <v>140</v>
      </c>
      <c r="N54" s="122" t="s">
        <v>141</v>
      </c>
      <c r="O54" s="122" t="s">
        <v>202</v>
      </c>
      <c r="Q54" s="119"/>
      <c r="R54" s="122" t="s">
        <v>140</v>
      </c>
      <c r="S54" s="122" t="s">
        <v>141</v>
      </c>
      <c r="T54" s="122" t="s">
        <v>202</v>
      </c>
      <c r="V54" s="119"/>
      <c r="W54" s="122" t="s">
        <v>140</v>
      </c>
      <c r="X54" s="122" t="s">
        <v>141</v>
      </c>
      <c r="Y54" s="122" t="s">
        <v>202</v>
      </c>
      <c r="AA54" s="119"/>
      <c r="AB54" s="122" t="s">
        <v>140</v>
      </c>
      <c r="AC54" s="122" t="s">
        <v>141</v>
      </c>
      <c r="AD54" s="122" t="s">
        <v>202</v>
      </c>
    </row>
    <row r="55" spans="1:40" x14ac:dyDescent="0.25">
      <c r="A55" s="319"/>
      <c r="B55" s="119" t="s">
        <v>142</v>
      </c>
      <c r="C55" s="5">
        <v>0.5</v>
      </c>
      <c r="D55" s="5">
        <f>$AI$8</f>
        <v>4.7773349999999999</v>
      </c>
      <c r="E55" s="5">
        <f>$AF$8</f>
        <v>3.09795</v>
      </c>
      <c r="G55" s="119" t="s">
        <v>142</v>
      </c>
      <c r="H55" s="5">
        <v>1</v>
      </c>
      <c r="I55" s="5">
        <f t="shared" ref="I55:J55" si="1">D10</f>
        <v>4.7773349999999999</v>
      </c>
      <c r="J55" s="5">
        <f t="shared" si="1"/>
        <v>3.09795</v>
      </c>
      <c r="L55" s="119" t="s">
        <v>142</v>
      </c>
      <c r="M55" s="5">
        <v>1</v>
      </c>
      <c r="N55" s="5">
        <f>$AI$8</f>
        <v>4.7773349999999999</v>
      </c>
      <c r="O55" s="5">
        <f>$AF$8</f>
        <v>3.09795</v>
      </c>
      <c r="Q55" s="119" t="s">
        <v>142</v>
      </c>
      <c r="R55" s="5">
        <v>1</v>
      </c>
      <c r="S55" s="5">
        <f t="shared" ref="S55:T55" si="2">D10</f>
        <v>4.7773349999999999</v>
      </c>
      <c r="T55" s="5">
        <f t="shared" si="2"/>
        <v>3.09795</v>
      </c>
      <c r="V55" s="119" t="s">
        <v>142</v>
      </c>
      <c r="W55" s="5">
        <v>1</v>
      </c>
      <c r="X55" s="5">
        <f>$AI$8</f>
        <v>4.7773349999999999</v>
      </c>
      <c r="Y55" s="5">
        <f>$AF$8</f>
        <v>3.09795</v>
      </c>
      <c r="AA55" s="119" t="s">
        <v>142</v>
      </c>
      <c r="AB55" s="5">
        <v>0.5</v>
      </c>
      <c r="AC55" s="5">
        <f>$AI$8</f>
        <v>4.7773349999999999</v>
      </c>
      <c r="AD55" s="5">
        <f>$AF$8</f>
        <v>3.09795</v>
      </c>
    </row>
    <row r="56" spans="1:40" x14ac:dyDescent="0.25">
      <c r="A56" s="319"/>
      <c r="B56" s="119" t="s">
        <v>143</v>
      </c>
      <c r="C56" s="5">
        <v>0</v>
      </c>
      <c r="D56" s="5">
        <f>$AI$9</f>
        <v>4.7773349999999999</v>
      </c>
      <c r="E56" s="5">
        <f>$AF$9</f>
        <v>3.3979499999999998</v>
      </c>
      <c r="G56" s="119" t="s">
        <v>143</v>
      </c>
      <c r="H56" s="5">
        <v>0</v>
      </c>
      <c r="I56" s="5">
        <f>'[2]Carichi unitari'!$E$28*'[2]DimensionamentoCD"B"'!$Q$13+4*'[2]DimensionamentoCD"B"'!$Q$14</f>
        <v>10.560335</v>
      </c>
      <c r="J56" s="5">
        <f>'[2]Carichi unitari'!$E$28+'[2]DimensionamentoCD"B"'!$X$6*4</f>
        <v>5.9079499999999996</v>
      </c>
      <c r="L56" s="119" t="s">
        <v>143</v>
      </c>
      <c r="M56" s="5">
        <v>0</v>
      </c>
      <c r="N56" s="5">
        <f>$AI$9</f>
        <v>4.7773349999999999</v>
      </c>
      <c r="O56" s="5">
        <f>$AF$9</f>
        <v>3.3979499999999998</v>
      </c>
      <c r="Q56" s="119" t="s">
        <v>143</v>
      </c>
      <c r="R56" s="5">
        <v>0</v>
      </c>
      <c r="S56" s="5">
        <f>'[2]Carichi unitari'!$E$28*'[2]DimensionamentoCD"B"'!$Q$13+4*'[2]DimensionamentoCD"B"'!$Q$14</f>
        <v>10.560335</v>
      </c>
      <c r="T56" s="5">
        <f>'[2]Carichi unitari'!$E$28+'[2]DimensionamentoCD"B"'!$X$6*4</f>
        <v>5.9079499999999996</v>
      </c>
      <c r="V56" s="119" t="s">
        <v>143</v>
      </c>
      <c r="W56" s="5">
        <v>0</v>
      </c>
      <c r="X56" s="5">
        <f>$AI$9</f>
        <v>4.7773349999999999</v>
      </c>
      <c r="Y56" s="5">
        <f>$AF$9</f>
        <v>3.3979499999999998</v>
      </c>
      <c r="AA56" s="119" t="s">
        <v>143</v>
      </c>
      <c r="AB56" s="5">
        <v>0</v>
      </c>
      <c r="AC56" s="5">
        <f>$AI$9</f>
        <v>4.7773349999999999</v>
      </c>
      <c r="AD56" s="5">
        <f>$AF$9</f>
        <v>3.3979499999999998</v>
      </c>
    </row>
    <row r="57" spans="1:40" x14ac:dyDescent="0.25">
      <c r="A57" s="319"/>
      <c r="B57" s="119" t="s">
        <v>145</v>
      </c>
      <c r="C57" s="5">
        <v>0</v>
      </c>
      <c r="D57" s="5">
        <f>$AI$10</f>
        <v>17.240725948587251</v>
      </c>
      <c r="E57" s="5">
        <f>$AF$10</f>
        <v>11.04671226814404</v>
      </c>
      <c r="G57" s="119" t="s">
        <v>145</v>
      </c>
      <c r="H57" s="5">
        <v>0</v>
      </c>
      <c r="I57" s="5">
        <f>'[2]Carichi unitari'!$E$20*'[2]DimensionamentoCD"B"'!$Q$13+4*'[2]DimensionamentoCD"B"'!$Q$14</f>
        <v>17.240725948587251</v>
      </c>
      <c r="J57" s="5">
        <f>'[2]Carichi unitari'!$E$20+'[2]DimensionamentoCD"B"'!$X$6*4</f>
        <v>11.04671226814404</v>
      </c>
      <c r="L57" s="119" t="s">
        <v>145</v>
      </c>
      <c r="M57" s="5">
        <v>0</v>
      </c>
      <c r="N57" s="5">
        <f>$AI$10</f>
        <v>17.240725948587251</v>
      </c>
      <c r="O57" s="5">
        <f>$AF$10</f>
        <v>11.04671226814404</v>
      </c>
      <c r="Q57" s="119" t="s">
        <v>145</v>
      </c>
      <c r="R57" s="5">
        <v>0</v>
      </c>
      <c r="S57" s="5">
        <f>'[2]Carichi unitari'!$E$20*'[2]DimensionamentoCD"B"'!$Q$13+4*'[2]DimensionamentoCD"B"'!$Q$14</f>
        <v>17.240725948587251</v>
      </c>
      <c r="T57" s="5">
        <f>'[2]Carichi unitari'!$E$20+'[2]DimensionamentoCD"B"'!$X$6*4</f>
        <v>11.04671226814404</v>
      </c>
      <c r="V57" s="119" t="s">
        <v>145</v>
      </c>
      <c r="W57" s="5">
        <v>0</v>
      </c>
      <c r="X57" s="5">
        <f>$AI$10</f>
        <v>17.240725948587251</v>
      </c>
      <c r="Y57" s="5">
        <f>$AF$10</f>
        <v>11.04671226814404</v>
      </c>
      <c r="AA57" s="119" t="s">
        <v>145</v>
      </c>
      <c r="AB57" s="5">
        <v>0</v>
      </c>
      <c r="AC57" s="5">
        <f>$AI$10</f>
        <v>17.240725948587251</v>
      </c>
      <c r="AD57" s="5">
        <f>$AF$10</f>
        <v>11.04671226814404</v>
      </c>
    </row>
    <row r="58" spans="1:40" x14ac:dyDescent="0.25">
      <c r="A58" s="319"/>
      <c r="B58" s="167" t="s">
        <v>146</v>
      </c>
      <c r="C58" s="168"/>
      <c r="D58" s="5">
        <f>$AI$11</f>
        <v>7.8000000000000007</v>
      </c>
      <c r="E58" s="5">
        <f>$AF$11</f>
        <v>6</v>
      </c>
      <c r="G58" s="43" t="s">
        <v>146</v>
      </c>
      <c r="H58" s="44"/>
      <c r="I58" s="5">
        <v>0</v>
      </c>
      <c r="J58" s="5">
        <v>0</v>
      </c>
      <c r="L58" s="43" t="s">
        <v>146</v>
      </c>
      <c r="M58" s="44"/>
      <c r="N58" s="5">
        <f>$AI$11</f>
        <v>7.8000000000000007</v>
      </c>
      <c r="O58" s="5">
        <f>$AF$11</f>
        <v>6</v>
      </c>
      <c r="Q58" s="167" t="s">
        <v>146</v>
      </c>
      <c r="R58" s="168"/>
      <c r="S58" s="5">
        <v>0</v>
      </c>
      <c r="T58" s="5">
        <v>0</v>
      </c>
      <c r="V58" s="167" t="s">
        <v>146</v>
      </c>
      <c r="W58" s="168"/>
      <c r="X58" s="5">
        <v>0</v>
      </c>
      <c r="Y58" s="5">
        <v>0</v>
      </c>
      <c r="AA58" s="167" t="s">
        <v>146</v>
      </c>
      <c r="AB58" s="168"/>
      <c r="AC58" s="5">
        <f>$AI$11</f>
        <v>7.8000000000000007</v>
      </c>
      <c r="AD58" s="5">
        <f>$AF$11</f>
        <v>6</v>
      </c>
    </row>
    <row r="59" spans="1:40" x14ac:dyDescent="0.25">
      <c r="A59" s="319"/>
      <c r="B59" s="273"/>
      <c r="C59" s="274"/>
      <c r="D59" s="5">
        <f>C55*D55+C56*D56+C57*D57+D58</f>
        <v>10.188667500000001</v>
      </c>
      <c r="E59" s="5">
        <f>C55*E55+C56*E56+C57*E57+E58</f>
        <v>7.5489750000000004</v>
      </c>
      <c r="G59" s="45"/>
      <c r="H59" s="46"/>
      <c r="I59" s="5">
        <f>H55*I55+H56*I56+H57*I57+I58</f>
        <v>4.7773349999999999</v>
      </c>
      <c r="J59" s="5">
        <f>H55*J55+H56*J56+H57*J57+J58</f>
        <v>3.09795</v>
      </c>
      <c r="L59" s="45"/>
      <c r="M59" s="46"/>
      <c r="N59" s="5">
        <f>M55*N55+M56*N56+M57*N57+N58</f>
        <v>12.577335000000001</v>
      </c>
      <c r="O59" s="5">
        <f>M55*O55+M56*O56+M57*O57+O58</f>
        <v>9.0979500000000009</v>
      </c>
      <c r="Q59" s="273"/>
      <c r="R59" s="274"/>
      <c r="S59" s="5">
        <f>R55*S55+R56*S56+R57*S57+S58</f>
        <v>4.7773349999999999</v>
      </c>
      <c r="T59" s="5">
        <f>R55*T55+R56*T56+R57*T57+T58</f>
        <v>3.09795</v>
      </c>
      <c r="V59" s="273"/>
      <c r="W59" s="274"/>
      <c r="X59" s="5">
        <f>W55*X55+W56*X56+W57*X57+X58</f>
        <v>4.7773349999999999</v>
      </c>
      <c r="Y59" s="5">
        <f>W55*Y55+W56*Y56+W57*Y57+Y58</f>
        <v>3.09795</v>
      </c>
      <c r="AA59" s="273"/>
      <c r="AB59" s="274"/>
      <c r="AC59" s="5">
        <f>AB55*AC55+AB56*AC56+AB57*AC57+AC58</f>
        <v>10.188667500000001</v>
      </c>
      <c r="AD59" s="5">
        <f>AB55*AD55+AB56*AD56+AB57*AD57+AD58</f>
        <v>7.5489750000000004</v>
      </c>
    </row>
    <row r="60" spans="1:40" x14ac:dyDescent="0.25">
      <c r="A60" s="319"/>
      <c r="B60" s="179" t="s">
        <v>201</v>
      </c>
      <c r="C60" s="181"/>
      <c r="D60" s="144">
        <f>E60*1.3</f>
        <v>4.758</v>
      </c>
      <c r="E60" s="5">
        <f>(0.3*E3*1*25)-0.3*2.8</f>
        <v>3.66</v>
      </c>
      <c r="G60" s="179" t="s">
        <v>201</v>
      </c>
      <c r="H60" s="181"/>
      <c r="I60" s="144">
        <f>J60*1.3</f>
        <v>1.0530000000000002</v>
      </c>
      <c r="J60" s="5">
        <f>(0.3*I3*1*25)-0.3*2.8</f>
        <v>0.81000000000000016</v>
      </c>
      <c r="L60" s="179" t="s">
        <v>201</v>
      </c>
      <c r="M60" s="181"/>
      <c r="N60" s="144">
        <f>O60*1.3</f>
        <v>4.758</v>
      </c>
      <c r="O60" s="5">
        <f>(0.3*E3*1*25)-0.3*2.8</f>
        <v>3.66</v>
      </c>
      <c r="Q60" s="179" t="s">
        <v>201</v>
      </c>
      <c r="R60" s="181"/>
      <c r="S60" s="144">
        <f>T60*1.3</f>
        <v>4.758</v>
      </c>
      <c r="T60" s="5">
        <f>(0.3*E3*1*25)-0.3*2.8</f>
        <v>3.66</v>
      </c>
      <c r="V60" s="179" t="s">
        <v>201</v>
      </c>
      <c r="W60" s="181"/>
      <c r="X60" s="144">
        <f>Y60*1.3</f>
        <v>1.0530000000000002</v>
      </c>
      <c r="Y60" s="5">
        <f>(0.3*I3*1*25)-0.3*2.8</f>
        <v>0.81000000000000016</v>
      </c>
      <c r="AA60" s="179" t="s">
        <v>201</v>
      </c>
      <c r="AB60" s="181"/>
      <c r="AC60" s="144">
        <f>AD60*1.3</f>
        <v>4.758</v>
      </c>
      <c r="AD60" s="5">
        <f>(0.3*E3*1*25)-0.3*2.8</f>
        <v>3.66</v>
      </c>
    </row>
    <row r="61" spans="1:40" x14ac:dyDescent="0.25">
      <c r="A61" s="319"/>
      <c r="B61" s="179" t="s">
        <v>109</v>
      </c>
      <c r="C61" s="181"/>
      <c r="D61" s="5">
        <f>SUM(D59:D60)</f>
        <v>14.9466675</v>
      </c>
      <c r="E61" s="5">
        <f>SUM(E59:E60)</f>
        <v>11.208975000000001</v>
      </c>
      <c r="G61" s="43" t="s">
        <v>109</v>
      </c>
      <c r="H61" s="44"/>
      <c r="I61" s="5">
        <f>SUM(I59:I60)</f>
        <v>5.8303349999999998</v>
      </c>
      <c r="J61" s="5">
        <f>SUM(J59:J60)</f>
        <v>3.90795</v>
      </c>
      <c r="L61" s="43" t="s">
        <v>109</v>
      </c>
      <c r="M61" s="44"/>
      <c r="N61" s="5">
        <f>SUM(N59:N60)</f>
        <v>17.335335000000001</v>
      </c>
      <c r="O61" s="5">
        <f>SUM(O59:O60)</f>
        <v>12.757950000000001</v>
      </c>
      <c r="Q61" s="179" t="s">
        <v>109</v>
      </c>
      <c r="R61" s="181"/>
      <c r="S61" s="5">
        <f>SUM(S59:S60)</f>
        <v>9.5353349999999999</v>
      </c>
      <c r="T61" s="5">
        <f>SUM(T59:T60)</f>
        <v>6.7579500000000001</v>
      </c>
      <c r="V61" s="179" t="s">
        <v>109</v>
      </c>
      <c r="W61" s="181"/>
      <c r="X61" s="5">
        <f>SUM(X59:X60)</f>
        <v>5.8303349999999998</v>
      </c>
      <c r="Y61" s="5">
        <f>SUM(Y59:Y60)</f>
        <v>3.90795</v>
      </c>
      <c r="AA61" s="179" t="s">
        <v>109</v>
      </c>
      <c r="AB61" s="181"/>
      <c r="AC61" s="5">
        <f>SUM(AC59:AC60)</f>
        <v>14.9466675</v>
      </c>
      <c r="AD61" s="5">
        <f>SUM(AD59:AD60)</f>
        <v>11.208975000000001</v>
      </c>
    </row>
    <row r="62" spans="1:40" x14ac:dyDescent="0.25">
      <c r="A62" s="12"/>
    </row>
    <row r="63" spans="1:40" x14ac:dyDescent="0.25">
      <c r="A63" s="12"/>
    </row>
    <row r="64" spans="1:40" x14ac:dyDescent="0.25">
      <c r="A64" s="12"/>
    </row>
    <row r="65" spans="1:1" x14ac:dyDescent="0.25">
      <c r="A65" s="12"/>
    </row>
    <row r="66" spans="1:1" x14ac:dyDescent="0.25">
      <c r="A66" s="12"/>
    </row>
    <row r="67" spans="1:1" x14ac:dyDescent="0.25">
      <c r="A67" s="12"/>
    </row>
    <row r="68" spans="1:1" x14ac:dyDescent="0.25">
      <c r="A68" s="12"/>
    </row>
    <row r="69" spans="1:1" x14ac:dyDescent="0.25">
      <c r="A69" s="12"/>
    </row>
    <row r="70" spans="1:1" x14ac:dyDescent="0.25">
      <c r="A70" s="12"/>
    </row>
    <row r="71" spans="1:1" x14ac:dyDescent="0.25">
      <c r="A71" s="12"/>
    </row>
  </sheetData>
  <mergeCells count="158">
    <mergeCell ref="B13:C13"/>
    <mergeCell ref="G13:H13"/>
    <mergeCell ref="L13:M13"/>
    <mergeCell ref="Q13:R13"/>
    <mergeCell ref="V13:W13"/>
    <mergeCell ref="AA14:AB14"/>
    <mergeCell ref="AA19:AC19"/>
    <mergeCell ref="C2:E2"/>
    <mergeCell ref="G2:I2"/>
    <mergeCell ref="C3:D3"/>
    <mergeCell ref="G3:H3"/>
    <mergeCell ref="B6:Y7"/>
    <mergeCell ref="B8:E8"/>
    <mergeCell ref="G8:J8"/>
    <mergeCell ref="L8:O8"/>
    <mergeCell ref="Q8:T8"/>
    <mergeCell ref="V8:Y8"/>
    <mergeCell ref="B14:C14"/>
    <mergeCell ref="G14:H14"/>
    <mergeCell ref="L14:M14"/>
    <mergeCell ref="Q14:R14"/>
    <mergeCell ref="V14:W14"/>
    <mergeCell ref="B15:C15"/>
    <mergeCell ref="G15:H15"/>
    <mergeCell ref="L15:M15"/>
    <mergeCell ref="Q15:R15"/>
    <mergeCell ref="V15:W15"/>
    <mergeCell ref="AI29:AO29"/>
    <mergeCell ref="AK30:AO30"/>
    <mergeCell ref="B24:C24"/>
    <mergeCell ref="G24:H24"/>
    <mergeCell ref="L24:M24"/>
    <mergeCell ref="Q24:R24"/>
    <mergeCell ref="V24:W24"/>
    <mergeCell ref="B16:C16"/>
    <mergeCell ref="G16:H16"/>
    <mergeCell ref="L16:M16"/>
    <mergeCell ref="Q16:R16"/>
    <mergeCell ref="V16:W16"/>
    <mergeCell ref="B19:E19"/>
    <mergeCell ref="G19:J19"/>
    <mergeCell ref="L19:O19"/>
    <mergeCell ref="Q19:T19"/>
    <mergeCell ref="V19:Y19"/>
    <mergeCell ref="AA29:AG29"/>
    <mergeCell ref="AC30:AG30"/>
    <mergeCell ref="B25:C25"/>
    <mergeCell ref="G25:H25"/>
    <mergeCell ref="L25:M25"/>
    <mergeCell ref="Q25:R25"/>
    <mergeCell ref="V25:W25"/>
    <mergeCell ref="B26:C26"/>
    <mergeCell ref="G26:H26"/>
    <mergeCell ref="L26:M26"/>
    <mergeCell ref="Q26:R26"/>
    <mergeCell ref="V26:W26"/>
    <mergeCell ref="B27:C27"/>
    <mergeCell ref="G27:H27"/>
    <mergeCell ref="L27:M27"/>
    <mergeCell ref="Q27:R27"/>
    <mergeCell ref="V27:W27"/>
    <mergeCell ref="B29:E29"/>
    <mergeCell ref="G29:J29"/>
    <mergeCell ref="L29:O29"/>
    <mergeCell ref="Q29:T29"/>
    <mergeCell ref="V29:Y29"/>
    <mergeCell ref="B34:C34"/>
    <mergeCell ref="G34:H34"/>
    <mergeCell ref="L34:M34"/>
    <mergeCell ref="Q34:R34"/>
    <mergeCell ref="V34:W34"/>
    <mergeCell ref="B35:C35"/>
    <mergeCell ref="G35:H35"/>
    <mergeCell ref="L35:M35"/>
    <mergeCell ref="Q35:R35"/>
    <mergeCell ref="V35:W35"/>
    <mergeCell ref="AF40:AI40"/>
    <mergeCell ref="AK40:AN40"/>
    <mergeCell ref="A41:A42"/>
    <mergeCell ref="AH41:AI41"/>
    <mergeCell ref="AM41:AN41"/>
    <mergeCell ref="B42:E42"/>
    <mergeCell ref="G42:J42"/>
    <mergeCell ref="L42:O42"/>
    <mergeCell ref="B36:C36"/>
    <mergeCell ref="G36:H36"/>
    <mergeCell ref="L36:M36"/>
    <mergeCell ref="Q36:R36"/>
    <mergeCell ref="V36:W36"/>
    <mergeCell ref="B37:C37"/>
    <mergeCell ref="G37:H37"/>
    <mergeCell ref="L37:M37"/>
    <mergeCell ref="Q37:R37"/>
    <mergeCell ref="V37:W37"/>
    <mergeCell ref="A43:A61"/>
    <mergeCell ref="B49:C49"/>
    <mergeCell ref="G49:H49"/>
    <mergeCell ref="L49:M49"/>
    <mergeCell ref="Q49:R49"/>
    <mergeCell ref="V49:W49"/>
    <mergeCell ref="AA49:AB49"/>
    <mergeCell ref="B38:Y38"/>
    <mergeCell ref="B40:AD41"/>
    <mergeCell ref="B53:E53"/>
    <mergeCell ref="G53:J53"/>
    <mergeCell ref="L53:O53"/>
    <mergeCell ref="Q53:T53"/>
    <mergeCell ref="V53:Y53"/>
    <mergeCell ref="AA53:AD53"/>
    <mergeCell ref="Q42:T42"/>
    <mergeCell ref="V42:Y42"/>
    <mergeCell ref="AA42:AD42"/>
    <mergeCell ref="K2:M2"/>
    <mergeCell ref="K3:L3"/>
    <mergeCell ref="AA6:AB6"/>
    <mergeCell ref="AK6:AQ6"/>
    <mergeCell ref="AA7:AB7"/>
    <mergeCell ref="AK7:AN7"/>
    <mergeCell ref="B61:C61"/>
    <mergeCell ref="Q61:R61"/>
    <mergeCell ref="V61:W61"/>
    <mergeCell ref="AA61:AB61"/>
    <mergeCell ref="B60:C60"/>
    <mergeCell ref="G60:H60"/>
    <mergeCell ref="L60:M60"/>
    <mergeCell ref="Q60:R60"/>
    <mergeCell ref="V60:W60"/>
    <mergeCell ref="AA60:AB60"/>
    <mergeCell ref="B58:C58"/>
    <mergeCell ref="Q58:R58"/>
    <mergeCell ref="V58:W58"/>
    <mergeCell ref="AA58:AB58"/>
    <mergeCell ref="B59:C59"/>
    <mergeCell ref="Q59:R59"/>
    <mergeCell ref="V59:W59"/>
    <mergeCell ref="AA59:AB59"/>
    <mergeCell ref="AA11:AB11"/>
    <mergeCell ref="AK11:AN11"/>
    <mergeCell ref="AA12:AB12"/>
    <mergeCell ref="AK12:AN12"/>
    <mergeCell ref="AA13:AB13"/>
    <mergeCell ref="AK13:AN13"/>
    <mergeCell ref="AA8:AB8"/>
    <mergeCell ref="AK8:AN8"/>
    <mergeCell ref="AA9:AB9"/>
    <mergeCell ref="AK9:AN9"/>
    <mergeCell ref="AA10:AB10"/>
    <mergeCell ref="AK10:AN10"/>
    <mergeCell ref="AK19:AN19"/>
    <mergeCell ref="AA20:AC20"/>
    <mergeCell ref="AA21:AC21"/>
    <mergeCell ref="AK14:AN14"/>
    <mergeCell ref="AA15:AB15"/>
    <mergeCell ref="AK15:AN15"/>
    <mergeCell ref="AK16:AN16"/>
    <mergeCell ref="AK17:AN17"/>
    <mergeCell ref="AA18:AD18"/>
    <mergeCell ref="AK18:AN18"/>
  </mergeCells>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Q52"/>
  <sheetViews>
    <sheetView zoomScaleNormal="100" workbookViewId="0">
      <selection activeCell="G5" sqref="G5"/>
    </sheetView>
  </sheetViews>
  <sheetFormatPr defaultRowHeight="15" x14ac:dyDescent="0.25"/>
  <cols>
    <col min="1" max="1" width="9.140625" style="60"/>
    <col min="2" max="2" width="14.5703125" style="60" customWidth="1"/>
    <col min="3" max="6" width="9.140625" style="60"/>
    <col min="7" max="7" width="12.7109375" style="60" customWidth="1"/>
    <col min="8" max="11" width="9.140625" style="60"/>
    <col min="12" max="12" width="12.5703125" style="60" customWidth="1"/>
    <col min="13" max="16" width="9.140625" style="60"/>
    <col min="17" max="17" width="12.42578125" style="60" customWidth="1"/>
    <col min="18" max="21" width="9.140625" style="60"/>
    <col min="22" max="22" width="12.42578125" style="60" customWidth="1"/>
    <col min="23" max="25" width="9.140625" style="60"/>
    <col min="26" max="26" width="9.140625" style="60" customWidth="1"/>
    <col min="27" max="27" width="9.140625" style="60"/>
    <col min="28" max="28" width="9.5703125" style="60" customWidth="1"/>
    <col min="29" max="31" width="9.140625" style="60" customWidth="1"/>
    <col min="32" max="36" width="9.140625" style="60"/>
    <col min="37" max="37" width="9.85546875" style="60" customWidth="1"/>
    <col min="38" max="38" width="10.42578125" style="60" customWidth="1"/>
    <col min="39" max="39" width="10.85546875" style="60" customWidth="1"/>
    <col min="40" max="40" width="10.42578125" style="60" customWidth="1"/>
    <col min="41" max="41" width="10.140625" style="60" customWidth="1"/>
    <col min="42" max="16384" width="9.140625" style="60"/>
  </cols>
  <sheetData>
    <row r="2" spans="2:43" x14ac:dyDescent="0.25">
      <c r="B2" s="316" t="s">
        <v>361</v>
      </c>
      <c r="C2" s="316"/>
    </row>
    <row r="3" spans="2:43" x14ac:dyDescent="0.25">
      <c r="B3" s="139" t="s">
        <v>362</v>
      </c>
      <c r="C3" s="160">
        <f>3.2-0.22-0.35</f>
        <v>2.63</v>
      </c>
    </row>
    <row r="6" spans="2:43" ht="17.25" customHeight="1" x14ac:dyDescent="0.25">
      <c r="B6" s="284" t="s">
        <v>135</v>
      </c>
      <c r="C6" s="285"/>
      <c r="D6" s="285"/>
      <c r="E6" s="286"/>
      <c r="G6" s="284" t="s">
        <v>136</v>
      </c>
      <c r="H6" s="285"/>
      <c r="I6" s="285"/>
      <c r="J6" s="286"/>
      <c r="L6" s="284" t="s">
        <v>137</v>
      </c>
      <c r="M6" s="285"/>
      <c r="N6" s="285"/>
      <c r="O6" s="286"/>
      <c r="Q6" s="284" t="s">
        <v>138</v>
      </c>
      <c r="R6" s="285"/>
      <c r="S6" s="285"/>
      <c r="T6" s="286"/>
      <c r="V6" s="284" t="s">
        <v>139</v>
      </c>
      <c r="W6" s="285"/>
      <c r="X6" s="285"/>
      <c r="Y6" s="286"/>
      <c r="AA6" s="169" t="s">
        <v>116</v>
      </c>
      <c r="AB6" s="169"/>
      <c r="AC6" s="133" t="s">
        <v>98</v>
      </c>
      <c r="AD6" s="133" t="s">
        <v>99</v>
      </c>
      <c r="AE6" s="133" t="s">
        <v>100</v>
      </c>
      <c r="AF6" s="133" t="s">
        <v>101</v>
      </c>
      <c r="AG6" s="133" t="s">
        <v>244</v>
      </c>
      <c r="AH6" s="133" t="s">
        <v>245</v>
      </c>
      <c r="AI6" s="133" t="s">
        <v>102</v>
      </c>
      <c r="AK6" s="182" t="s">
        <v>40</v>
      </c>
      <c r="AL6" s="182"/>
      <c r="AM6" s="182"/>
      <c r="AN6" s="182"/>
      <c r="AO6" s="182"/>
      <c r="AP6" s="182"/>
      <c r="AQ6" s="182"/>
    </row>
    <row r="7" spans="2:43" x14ac:dyDescent="0.25">
      <c r="B7" s="133"/>
      <c r="C7" s="133" t="s">
        <v>140</v>
      </c>
      <c r="D7" s="133" t="s">
        <v>102</v>
      </c>
      <c r="E7" s="133" t="s">
        <v>160</v>
      </c>
      <c r="G7" s="133"/>
      <c r="H7" s="133" t="s">
        <v>140</v>
      </c>
      <c r="I7" s="133" t="s">
        <v>102</v>
      </c>
      <c r="J7" s="133" t="s">
        <v>160</v>
      </c>
      <c r="L7" s="133"/>
      <c r="M7" s="133" t="s">
        <v>140</v>
      </c>
      <c r="N7" s="133" t="s">
        <v>102</v>
      </c>
      <c r="O7" s="133" t="s">
        <v>160</v>
      </c>
      <c r="Q7" s="133"/>
      <c r="R7" s="133" t="s">
        <v>140</v>
      </c>
      <c r="S7" s="133" t="s">
        <v>102</v>
      </c>
      <c r="T7" s="133" t="s">
        <v>160</v>
      </c>
      <c r="V7" s="133"/>
      <c r="W7" s="133" t="s">
        <v>140</v>
      </c>
      <c r="X7" s="133" t="s">
        <v>102</v>
      </c>
      <c r="Y7" s="133" t="s">
        <v>160</v>
      </c>
      <c r="AA7" s="169" t="s">
        <v>117</v>
      </c>
      <c r="AB7" s="169"/>
      <c r="AC7" s="5">
        <f>'Carichi unitari'!J25</f>
        <v>3.8279500000000004</v>
      </c>
      <c r="AD7" s="5">
        <v>1.6</v>
      </c>
      <c r="AE7" s="5">
        <v>2</v>
      </c>
      <c r="AF7" s="5">
        <f>AC7+AD7+AQ8*AE7</f>
        <v>6.0279500000000006</v>
      </c>
      <c r="AG7" s="5">
        <f>(AC7+AD7)*$AD$19</f>
        <v>7.0563350000000016</v>
      </c>
      <c r="AH7" s="5">
        <f>AE7*AD$20</f>
        <v>3</v>
      </c>
      <c r="AI7" s="5">
        <f>$AG$7+$AH$7</f>
        <v>10.056335000000001</v>
      </c>
      <c r="AK7" s="317"/>
      <c r="AL7" s="317"/>
      <c r="AM7" s="317"/>
      <c r="AN7" s="317"/>
      <c r="AO7" s="137" t="s">
        <v>14</v>
      </c>
      <c r="AP7" s="137" t="s">
        <v>16</v>
      </c>
      <c r="AQ7" s="137" t="s">
        <v>15</v>
      </c>
    </row>
    <row r="8" spans="2:43" x14ac:dyDescent="0.25">
      <c r="B8" s="133" t="s">
        <v>142</v>
      </c>
      <c r="C8" s="5">
        <f>(5/2)*(5.3/2)</f>
        <v>6.625</v>
      </c>
      <c r="D8" s="5">
        <f>$AI$7</f>
        <v>10.056335000000001</v>
      </c>
      <c r="E8" s="5">
        <f>$AF$7</f>
        <v>6.0279500000000006</v>
      </c>
      <c r="G8" s="133" t="s">
        <v>142</v>
      </c>
      <c r="H8" s="5">
        <f>1.2*(5/2)*(5.3/2)+(3.9/2)*(4.9/2)</f>
        <v>12.727499999999999</v>
      </c>
      <c r="I8" s="5">
        <f>$AI$7</f>
        <v>10.056335000000001</v>
      </c>
      <c r="J8" s="5">
        <f>$AF$7</f>
        <v>6.0279500000000006</v>
      </c>
      <c r="L8" s="133" t="s">
        <v>142</v>
      </c>
      <c r="M8" s="5">
        <f>(3.9/2)*(4.9/2)+(4.4/2)*(4.9/2)</f>
        <v>10.1675</v>
      </c>
      <c r="N8" s="5">
        <f>$AI$7</f>
        <v>10.056335000000001</v>
      </c>
      <c r="O8" s="5">
        <f>$AF$7</f>
        <v>6.0279500000000006</v>
      </c>
      <c r="Q8" s="133" t="s">
        <v>142</v>
      </c>
      <c r="R8" s="5">
        <f>(4.4/2)*(4.8/2)+(4.8/2)*(4.8/2)</f>
        <v>11.04</v>
      </c>
      <c r="S8" s="5">
        <f>$AI$7</f>
        <v>10.056335000000001</v>
      </c>
      <c r="T8" s="5">
        <f>$AF$7</f>
        <v>6.0279500000000006</v>
      </c>
      <c r="V8" s="133" t="s">
        <v>142</v>
      </c>
      <c r="W8" s="5">
        <f>(4.8/2)*(4.8/2)+1.2*(4.5/2)*(4.8/2)</f>
        <v>12.239999999999998</v>
      </c>
      <c r="X8" s="5">
        <f>$AI$7</f>
        <v>10.056335000000001</v>
      </c>
      <c r="Y8" s="5">
        <f>$AF$7</f>
        <v>6.0279500000000006</v>
      </c>
      <c r="AA8" s="351" t="s">
        <v>106</v>
      </c>
      <c r="AB8" s="351"/>
      <c r="AC8" s="68">
        <f>'Carichi unitari'!J26</f>
        <v>3.09795</v>
      </c>
      <c r="AD8" s="68"/>
      <c r="AE8" s="68">
        <v>0.5</v>
      </c>
      <c r="AF8" s="68">
        <f>AC8+AQ15*AE8</f>
        <v>3.09795</v>
      </c>
      <c r="AG8" s="5">
        <f>AC8*$AD$19</f>
        <v>4.0273349999999999</v>
      </c>
      <c r="AH8" s="5">
        <f>AE8*AD$20</f>
        <v>0.75</v>
      </c>
      <c r="AI8" s="68">
        <f>$AG$8+$AH$8</f>
        <v>4.7773349999999999</v>
      </c>
      <c r="AK8" s="315" t="s">
        <v>18</v>
      </c>
      <c r="AL8" s="315"/>
      <c r="AM8" s="315"/>
      <c r="AN8" s="315"/>
      <c r="AO8" s="52">
        <v>0.7</v>
      </c>
      <c r="AP8" s="52">
        <v>0.5</v>
      </c>
      <c r="AQ8" s="52">
        <v>0.3</v>
      </c>
    </row>
    <row r="9" spans="2:43" x14ac:dyDescent="0.25">
      <c r="B9" s="133" t="s">
        <v>143</v>
      </c>
      <c r="C9" s="5">
        <v>0</v>
      </c>
      <c r="D9" s="5">
        <f>$AI$9</f>
        <v>10.560335</v>
      </c>
      <c r="E9" s="5">
        <f>$AF$9</f>
        <v>5.9079499999999996</v>
      </c>
      <c r="G9" s="133" t="s">
        <v>143</v>
      </c>
      <c r="H9" s="5">
        <f>(4.4/2)*1.5</f>
        <v>3.3000000000000003</v>
      </c>
      <c r="I9" s="5">
        <f>$AI$9</f>
        <v>10.560335</v>
      </c>
      <c r="J9" s="5">
        <f>$AF$9</f>
        <v>5.9079499999999996</v>
      </c>
      <c r="L9" s="133" t="s">
        <v>143</v>
      </c>
      <c r="M9" s="5">
        <f>(4.4/2)*1.5</f>
        <v>3.3000000000000003</v>
      </c>
      <c r="N9" s="5">
        <f>$AI$9</f>
        <v>10.560335</v>
      </c>
      <c r="O9" s="5">
        <f>$AF$9</f>
        <v>5.9079499999999996</v>
      </c>
      <c r="Q9" s="133" t="s">
        <v>143</v>
      </c>
      <c r="R9" s="5">
        <f>1.5*(4/2)+1.5*(4.4/2)</f>
        <v>6.3000000000000007</v>
      </c>
      <c r="S9" s="5">
        <f>$AI$9</f>
        <v>10.560335</v>
      </c>
      <c r="T9" s="5">
        <f>$AF$9</f>
        <v>5.9079499999999996</v>
      </c>
      <c r="V9" s="133" t="s">
        <v>143</v>
      </c>
      <c r="W9" s="5">
        <f>1.5*(4.4/2)</f>
        <v>3.3000000000000003</v>
      </c>
      <c r="X9" s="5">
        <f>$AI$9</f>
        <v>10.560335</v>
      </c>
      <c r="Y9" s="5">
        <f>$AF$9</f>
        <v>5.9079499999999996</v>
      </c>
      <c r="AA9" s="169" t="s">
        <v>118</v>
      </c>
      <c r="AB9" s="169"/>
      <c r="AC9" s="5">
        <f>'Carichi unitari'!J27</f>
        <v>3.5079500000000001</v>
      </c>
      <c r="AD9" s="5"/>
      <c r="AE9" s="5">
        <v>4</v>
      </c>
      <c r="AF9" s="5">
        <f>AC9+AQ$10*AE9</f>
        <v>5.9079499999999996</v>
      </c>
      <c r="AG9" s="5">
        <f t="shared" ref="AG9:AG15" si="0">AC9*$AD$19</f>
        <v>4.5603350000000002</v>
      </c>
      <c r="AH9" s="5">
        <f>AE9*AD$20</f>
        <v>6</v>
      </c>
      <c r="AI9" s="5">
        <f>$AG$9+$AH$9</f>
        <v>10.560335</v>
      </c>
      <c r="AK9" s="315" t="s">
        <v>17</v>
      </c>
      <c r="AL9" s="315"/>
      <c r="AM9" s="315"/>
      <c r="AN9" s="315"/>
      <c r="AO9" s="52">
        <v>0.7</v>
      </c>
      <c r="AP9" s="52">
        <v>0.5</v>
      </c>
      <c r="AQ9" s="52">
        <v>0.3</v>
      </c>
    </row>
    <row r="10" spans="2:43" x14ac:dyDescent="0.25">
      <c r="B10" s="133" t="s">
        <v>144</v>
      </c>
      <c r="C10" s="5">
        <f>5.44/2</f>
        <v>2.72</v>
      </c>
      <c r="D10" s="5">
        <f>$AI$15</f>
        <v>4.758</v>
      </c>
      <c r="E10" s="5">
        <f>$AF$15</f>
        <v>3.66</v>
      </c>
      <c r="G10" s="133" t="s">
        <v>144</v>
      </c>
      <c r="H10" s="5">
        <f>1.2*(5.5/2)+(4.16/2)</f>
        <v>5.38</v>
      </c>
      <c r="I10" s="5">
        <f>$AI$15</f>
        <v>4.758</v>
      </c>
      <c r="J10" s="5">
        <f>$AF$15</f>
        <v>3.66</v>
      </c>
      <c r="L10" s="133" t="s">
        <v>144</v>
      </c>
      <c r="M10" s="5">
        <f>(4.16/2)+(4.5/2)+(4.85/2)</f>
        <v>6.7549999999999999</v>
      </c>
      <c r="N10" s="5">
        <f>$AI$15</f>
        <v>4.758</v>
      </c>
      <c r="O10" s="5">
        <f>$AF$15</f>
        <v>3.66</v>
      </c>
      <c r="Q10" s="133" t="s">
        <v>144</v>
      </c>
      <c r="R10" s="5">
        <f>(4.5/2)+(4.94/2)+(4.85/2)</f>
        <v>7.1450000000000005</v>
      </c>
      <c r="S10" s="5">
        <f>$AI$15</f>
        <v>4.758</v>
      </c>
      <c r="T10" s="5">
        <f>$AF$15</f>
        <v>3.66</v>
      </c>
      <c r="V10" s="133" t="s">
        <v>144</v>
      </c>
      <c r="W10" s="5">
        <f>(4.94/2)+1.2*(4.46/2)</f>
        <v>5.1459999999999999</v>
      </c>
      <c r="X10" s="5">
        <f>$AI$15</f>
        <v>4.758</v>
      </c>
      <c r="Y10" s="5">
        <f>$AF$15</f>
        <v>3.66</v>
      </c>
      <c r="AA10" s="169" t="s">
        <v>103</v>
      </c>
      <c r="AB10" s="169"/>
      <c r="AC10" s="5">
        <f>'Carichi unitari'!J28</f>
        <v>8.6467122681440394</v>
      </c>
      <c r="AD10" s="5"/>
      <c r="AE10" s="5">
        <v>4</v>
      </c>
      <c r="AF10" s="5">
        <f>AC10+AQ$10*AE10</f>
        <v>11.04671226814404</v>
      </c>
      <c r="AG10" s="5">
        <f t="shared" si="0"/>
        <v>11.240725948587251</v>
      </c>
      <c r="AH10" s="5">
        <f>AE10*AD$20</f>
        <v>6</v>
      </c>
      <c r="AI10" s="5">
        <f>$AG$10+$AH$10</f>
        <v>17.240725948587251</v>
      </c>
      <c r="AK10" s="315" t="s">
        <v>19</v>
      </c>
      <c r="AL10" s="315"/>
      <c r="AM10" s="315"/>
      <c r="AN10" s="315"/>
      <c r="AO10" s="52">
        <v>0.7</v>
      </c>
      <c r="AP10" s="52">
        <v>0.7</v>
      </c>
      <c r="AQ10" s="52">
        <v>0.6</v>
      </c>
    </row>
    <row r="11" spans="2:43" x14ac:dyDescent="0.25">
      <c r="B11" s="133" t="s">
        <v>145</v>
      </c>
      <c r="C11" s="5">
        <v>0</v>
      </c>
      <c r="D11" s="5">
        <f>$AI$10</f>
        <v>17.240725948587251</v>
      </c>
      <c r="E11" s="5">
        <f>$AF$10</f>
        <v>11.04671226814404</v>
      </c>
      <c r="G11" s="133" t="s">
        <v>144</v>
      </c>
      <c r="H11" s="5">
        <f>(5.05/2)</f>
        <v>2.5249999999999999</v>
      </c>
      <c r="I11" s="5">
        <f>$AI$13</f>
        <v>1.0530000000000002</v>
      </c>
      <c r="J11" s="5">
        <f>$AF$13</f>
        <v>0.81000000000000016</v>
      </c>
      <c r="L11" s="133" t="s">
        <v>145</v>
      </c>
      <c r="M11" s="5">
        <v>0</v>
      </c>
      <c r="N11" s="5">
        <f>$AI$10</f>
        <v>17.240725948587251</v>
      </c>
      <c r="O11" s="5">
        <f>$AF$10</f>
        <v>11.04671226814404</v>
      </c>
      <c r="Q11" s="133" t="s">
        <v>145</v>
      </c>
      <c r="R11" s="5">
        <v>0</v>
      </c>
      <c r="S11" s="5">
        <f>$AI$10</f>
        <v>17.240725948587251</v>
      </c>
      <c r="T11" s="5">
        <f>$AF$10</f>
        <v>11.04671226814404</v>
      </c>
      <c r="V11" s="133" t="s">
        <v>144</v>
      </c>
      <c r="W11" s="5">
        <f>(5.05/2)</f>
        <v>2.5249999999999999</v>
      </c>
      <c r="X11" s="5">
        <f>$AI$13</f>
        <v>1.0530000000000002</v>
      </c>
      <c r="Y11" s="5">
        <f>$AF$13</f>
        <v>0.81000000000000016</v>
      </c>
      <c r="AA11" s="169" t="s">
        <v>104</v>
      </c>
      <c r="AB11" s="169"/>
      <c r="AC11" s="5">
        <f>'Carichi unitari'!J29</f>
        <v>6</v>
      </c>
      <c r="AD11" s="5"/>
      <c r="AE11" s="5"/>
      <c r="AF11" s="5">
        <f>AC11</f>
        <v>6</v>
      </c>
      <c r="AG11" s="5">
        <f t="shared" si="0"/>
        <v>7.8000000000000007</v>
      </c>
      <c r="AH11" s="5"/>
      <c r="AI11" s="5">
        <f>$AG$11</f>
        <v>7.8000000000000007</v>
      </c>
      <c r="AK11" s="315" t="s">
        <v>20</v>
      </c>
      <c r="AL11" s="315"/>
      <c r="AM11" s="315"/>
      <c r="AN11" s="315"/>
      <c r="AO11" s="52">
        <v>0.7</v>
      </c>
      <c r="AP11" s="52">
        <v>0.7</v>
      </c>
      <c r="AQ11" s="52">
        <v>0.6</v>
      </c>
    </row>
    <row r="12" spans="2:43" x14ac:dyDescent="0.25">
      <c r="B12" s="133" t="s">
        <v>146</v>
      </c>
      <c r="C12" s="5">
        <f>(4.9*C3)/2</f>
        <v>6.4435000000000002</v>
      </c>
      <c r="D12" s="5">
        <f>$AI$11</f>
        <v>7.8000000000000007</v>
      </c>
      <c r="E12" s="5">
        <f>$AF$11</f>
        <v>6</v>
      </c>
      <c r="G12" s="133" t="s">
        <v>145</v>
      </c>
      <c r="H12" s="5">
        <v>0</v>
      </c>
      <c r="I12" s="5">
        <f>$AI$10</f>
        <v>17.240725948587251</v>
      </c>
      <c r="J12" s="5">
        <f>$AF$10</f>
        <v>11.04671226814404</v>
      </c>
      <c r="L12" s="133" t="s">
        <v>146</v>
      </c>
      <c r="M12" s="5">
        <f>(3.6/2)*C3+(4.2/2)*C3+(4/2)*C3</f>
        <v>15.516999999999999</v>
      </c>
      <c r="N12" s="5">
        <f>$AI$11</f>
        <v>7.8000000000000007</v>
      </c>
      <c r="O12" s="5">
        <f>$AF$11</f>
        <v>6</v>
      </c>
      <c r="Q12" s="133" t="s">
        <v>146</v>
      </c>
      <c r="R12" s="5">
        <f>((4.2/2)+(4.4/2))*C3</f>
        <v>11.309000000000001</v>
      </c>
      <c r="S12" s="5">
        <f>$AI$11</f>
        <v>7.8000000000000007</v>
      </c>
      <c r="T12" s="5">
        <f>$AF$11</f>
        <v>6</v>
      </c>
      <c r="V12" s="133" t="s">
        <v>145</v>
      </c>
      <c r="W12" s="5">
        <v>0</v>
      </c>
      <c r="X12" s="5">
        <f>$AI$10</f>
        <v>17.240725948587251</v>
      </c>
      <c r="Y12" s="5">
        <f>$AF$10</f>
        <v>11.04671226814404</v>
      </c>
      <c r="AA12" s="169" t="s">
        <v>246</v>
      </c>
      <c r="AB12" s="169"/>
      <c r="AC12" s="5">
        <f>'Carichi unitari'!J30</f>
        <v>3.66</v>
      </c>
      <c r="AD12" s="5"/>
      <c r="AE12" s="5"/>
      <c r="AF12" s="5">
        <f>AC12</f>
        <v>3.66</v>
      </c>
      <c r="AG12" s="5">
        <f t="shared" si="0"/>
        <v>4.758</v>
      </c>
      <c r="AH12" s="5"/>
      <c r="AI12" s="5">
        <f>AG12</f>
        <v>4.758</v>
      </c>
      <c r="AK12" s="315" t="s">
        <v>21</v>
      </c>
      <c r="AL12" s="315"/>
      <c r="AM12" s="315"/>
      <c r="AN12" s="315"/>
      <c r="AO12" s="52">
        <v>1</v>
      </c>
      <c r="AP12" s="52">
        <v>0.9</v>
      </c>
      <c r="AQ12" s="52">
        <v>0.8</v>
      </c>
    </row>
    <row r="13" spans="2:43" x14ac:dyDescent="0.25">
      <c r="B13" s="273"/>
      <c r="C13" s="274"/>
      <c r="D13" s="5">
        <f>C$8*D8+C$9*D9+C$10*D10+C$11*D11+C$12*D12</f>
        <v>129.824279375</v>
      </c>
      <c r="E13" s="5">
        <f>C$8*E8+C$9*E9+C$10*E10+C$11*E11+C$12*E12</f>
        <v>88.551368750000009</v>
      </c>
      <c r="G13" s="133" t="s">
        <v>146</v>
      </c>
      <c r="H13" s="5">
        <f>(1.2*(4.9/2)+(3.6/2)*C3)</f>
        <v>7.6739999999999995</v>
      </c>
      <c r="I13" s="5">
        <f>$AI$11</f>
        <v>7.8000000000000007</v>
      </c>
      <c r="J13" s="5">
        <f>$AF$11</f>
        <v>6</v>
      </c>
      <c r="L13" s="273"/>
      <c r="M13" s="274"/>
      <c r="N13" s="5">
        <f>M$8*N8+M$9*N9+M$10*N10+M$11*N11+M$12*N12</f>
        <v>290.26978161249997</v>
      </c>
      <c r="O13" s="5">
        <f>M$8*O8+M$9*O9+M$10*O10+M$11*O11+M$12*O12</f>
        <v>198.61071662500001</v>
      </c>
      <c r="Q13" s="273"/>
      <c r="R13" s="274"/>
      <c r="S13" s="5">
        <f>R$8*S8+R$9*S9+R$10*S10+R$11*S11+R$12*S12</f>
        <v>299.75815890000001</v>
      </c>
      <c r="T13" s="5">
        <f>R$8*T8+R$9*T9+R$10*T10+R$11*T11+R$12*T12</f>
        <v>197.77335300000001</v>
      </c>
      <c r="V13" s="133" t="s">
        <v>146</v>
      </c>
      <c r="W13" s="5">
        <f>((4.4/2)+1.2*(3.6/2))*C3</f>
        <v>11.466800000000001</v>
      </c>
      <c r="X13" s="5">
        <f>$AI$11</f>
        <v>7.8000000000000007</v>
      </c>
      <c r="Y13" s="5">
        <f>$AF$11</f>
        <v>6</v>
      </c>
      <c r="AA13" s="169" t="s">
        <v>256</v>
      </c>
      <c r="AB13" s="169"/>
      <c r="AC13" s="5">
        <f>'Carichi unitari'!J31</f>
        <v>0.81000000000000016</v>
      </c>
      <c r="AD13" s="5"/>
      <c r="AE13" s="5"/>
      <c r="AF13" s="5">
        <f>AC13</f>
        <v>0.81000000000000016</v>
      </c>
      <c r="AG13" s="5">
        <f t="shared" si="0"/>
        <v>1.0530000000000002</v>
      </c>
      <c r="AH13" s="5"/>
      <c r="AI13" s="5">
        <f>AG13</f>
        <v>1.0530000000000002</v>
      </c>
      <c r="AK13" s="315" t="s">
        <v>250</v>
      </c>
      <c r="AL13" s="315"/>
      <c r="AM13" s="315"/>
      <c r="AN13" s="315"/>
      <c r="AO13" s="53">
        <v>0.7</v>
      </c>
      <c r="AP13" s="53">
        <v>0.7</v>
      </c>
      <c r="AQ13" s="53">
        <v>0.6</v>
      </c>
    </row>
    <row r="14" spans="2:43" x14ac:dyDescent="0.25">
      <c r="B14" s="179" t="s">
        <v>147</v>
      </c>
      <c r="C14" s="181"/>
      <c r="D14" s="5">
        <f>$AG$14</f>
        <v>18.291</v>
      </c>
      <c r="E14" s="5">
        <f>$AF$14</f>
        <v>14.069999999999999</v>
      </c>
      <c r="G14" s="135"/>
      <c r="H14" s="136"/>
      <c r="I14" s="5">
        <f>H$8*I8+H$9*I9+H$10*I10+H$12*I12+H$13*I13</f>
        <v>248.29634921249999</v>
      </c>
      <c r="J14" s="5">
        <f>H$8*J8+H$9*J9+H$10*J10+H$12*J12+H$13*J13</f>
        <v>161.951768625</v>
      </c>
      <c r="L14" s="179" t="s">
        <v>147</v>
      </c>
      <c r="M14" s="181"/>
      <c r="N14" s="5">
        <f>$AG$14</f>
        <v>18.291</v>
      </c>
      <c r="O14" s="5">
        <f>$AF$14</f>
        <v>14.069999999999999</v>
      </c>
      <c r="Q14" s="179" t="s">
        <v>147</v>
      </c>
      <c r="R14" s="181"/>
      <c r="S14" s="5">
        <f>$AG$14</f>
        <v>18.291</v>
      </c>
      <c r="T14" s="5">
        <f>$AF$14</f>
        <v>14.069999999999999</v>
      </c>
      <c r="V14" s="273"/>
      <c r="W14" s="274"/>
      <c r="X14" s="5">
        <f>W$8*X8+W$9*X9+W$10*X10+W$12*X12+W$13*X13</f>
        <v>271.86435389999997</v>
      </c>
      <c r="Y14" s="5">
        <f>W$8*Y8+W$9*Y9+W$10*Y10+W$12*Y12+W$13*Y13</f>
        <v>180.91350299999999</v>
      </c>
      <c r="AA14" s="169" t="s">
        <v>257</v>
      </c>
      <c r="AB14" s="169"/>
      <c r="AC14" s="5">
        <f>'Carichi unitari'!J32</f>
        <v>14.069999999999999</v>
      </c>
      <c r="AD14" s="5"/>
      <c r="AE14" s="5"/>
      <c r="AF14" s="5">
        <f>AC14</f>
        <v>14.069999999999999</v>
      </c>
      <c r="AG14" s="5">
        <f t="shared" si="0"/>
        <v>18.291</v>
      </c>
      <c r="AH14" s="5"/>
      <c r="AI14" s="5">
        <f>$AG$14</f>
        <v>18.291</v>
      </c>
      <c r="AK14" s="315" t="s">
        <v>22</v>
      </c>
      <c r="AL14" s="315"/>
      <c r="AM14" s="315"/>
      <c r="AN14" s="315"/>
      <c r="AO14" s="53">
        <v>0.7</v>
      </c>
      <c r="AP14" s="53">
        <v>0.5</v>
      </c>
      <c r="AQ14" s="53">
        <v>0.3</v>
      </c>
    </row>
    <row r="15" spans="2:43" x14ac:dyDescent="0.25">
      <c r="B15" s="179" t="s">
        <v>109</v>
      </c>
      <c r="C15" s="181"/>
      <c r="D15" s="5">
        <f>SUM(D13:D14)</f>
        <v>148.115279375</v>
      </c>
      <c r="E15" s="5">
        <f>SUM(E13:E14)</f>
        <v>102.62136875</v>
      </c>
      <c r="G15" s="179" t="s">
        <v>147</v>
      </c>
      <c r="H15" s="181"/>
      <c r="I15" s="5">
        <f>$AG$14</f>
        <v>18.291</v>
      </c>
      <c r="J15" s="5">
        <f>$AF$14</f>
        <v>14.069999999999999</v>
      </c>
      <c r="L15" s="179" t="s">
        <v>109</v>
      </c>
      <c r="M15" s="181"/>
      <c r="N15" s="5">
        <f>SUM(N13:N14)</f>
        <v>308.56078161249997</v>
      </c>
      <c r="O15" s="5">
        <f>SUM(O13:O14)</f>
        <v>212.680716625</v>
      </c>
      <c r="Q15" s="179" t="s">
        <v>109</v>
      </c>
      <c r="R15" s="181"/>
      <c r="S15" s="5">
        <f>SUM(S13:S14)</f>
        <v>318.04915890000001</v>
      </c>
      <c r="T15" s="5">
        <f>SUM(T13:T14)</f>
        <v>211.84335300000001</v>
      </c>
      <c r="V15" s="179" t="s">
        <v>147</v>
      </c>
      <c r="W15" s="181"/>
      <c r="X15" s="5">
        <f>$AG$14</f>
        <v>18.291</v>
      </c>
      <c r="Y15" s="5">
        <f>$AF$14</f>
        <v>14.069999999999999</v>
      </c>
      <c r="AA15" s="169" t="s">
        <v>119</v>
      </c>
      <c r="AB15" s="169"/>
      <c r="AC15" s="5">
        <f>'Carichi unitari'!J33</f>
        <v>3.66</v>
      </c>
      <c r="AD15" s="5"/>
      <c r="AE15" s="5"/>
      <c r="AF15" s="5">
        <f>AF12</f>
        <v>3.66</v>
      </c>
      <c r="AG15" s="5">
        <f t="shared" si="0"/>
        <v>4.758</v>
      </c>
      <c r="AH15" s="5"/>
      <c r="AI15" s="5">
        <f>AI12</f>
        <v>4.758</v>
      </c>
      <c r="AK15" s="315" t="s">
        <v>23</v>
      </c>
      <c r="AL15" s="315"/>
      <c r="AM15" s="315"/>
      <c r="AN15" s="315"/>
      <c r="AO15" s="52">
        <v>0</v>
      </c>
      <c r="AP15" s="52">
        <v>0</v>
      </c>
      <c r="AQ15" s="52">
        <v>0</v>
      </c>
    </row>
    <row r="16" spans="2:43" x14ac:dyDescent="0.25">
      <c r="G16" s="179" t="s">
        <v>109</v>
      </c>
      <c r="H16" s="181"/>
      <c r="I16" s="5">
        <f>SUM(I14:I15)</f>
        <v>266.58734921249999</v>
      </c>
      <c r="J16" s="5">
        <f>SUM(J14:J15)</f>
        <v>176.02176862499999</v>
      </c>
      <c r="V16" s="179" t="s">
        <v>109</v>
      </c>
      <c r="W16" s="181"/>
      <c r="X16" s="5">
        <f>SUM(X14:X15)</f>
        <v>290.15535389999997</v>
      </c>
      <c r="Y16" s="5">
        <f>SUM(Y14:Y15)</f>
        <v>194.98350299999998</v>
      </c>
      <c r="AK16" s="315" t="s">
        <v>24</v>
      </c>
      <c r="AL16" s="315"/>
      <c r="AM16" s="315"/>
      <c r="AN16" s="315"/>
      <c r="AO16" s="53">
        <v>0.6</v>
      </c>
      <c r="AP16" s="53">
        <v>0.2</v>
      </c>
      <c r="AQ16" s="52">
        <v>0</v>
      </c>
    </row>
    <row r="17" spans="2:43" x14ac:dyDescent="0.25">
      <c r="AK17" s="315" t="s">
        <v>251</v>
      </c>
      <c r="AL17" s="315"/>
      <c r="AM17" s="315"/>
      <c r="AN17" s="315"/>
      <c r="AO17" s="53">
        <v>0.5</v>
      </c>
      <c r="AP17" s="53">
        <v>0.2</v>
      </c>
      <c r="AQ17" s="52">
        <v>0</v>
      </c>
    </row>
    <row r="18" spans="2:43" ht="18.75" x14ac:dyDescent="0.25">
      <c r="B18" s="348" t="s">
        <v>148</v>
      </c>
      <c r="C18" s="348"/>
      <c r="D18" s="348"/>
      <c r="E18" s="348"/>
      <c r="G18" s="348" t="s">
        <v>115</v>
      </c>
      <c r="H18" s="348"/>
      <c r="I18" s="348"/>
      <c r="J18" s="348"/>
      <c r="L18" s="348" t="s">
        <v>149</v>
      </c>
      <c r="M18" s="348"/>
      <c r="N18" s="348"/>
      <c r="O18" s="348"/>
      <c r="Q18" s="348" t="s">
        <v>150</v>
      </c>
      <c r="R18" s="348"/>
      <c r="S18" s="348"/>
      <c r="T18" s="348"/>
      <c r="V18" s="348" t="s">
        <v>151</v>
      </c>
      <c r="W18" s="348"/>
      <c r="X18" s="348"/>
      <c r="Y18" s="348"/>
      <c r="AA18" s="179" t="s">
        <v>26</v>
      </c>
      <c r="AB18" s="180"/>
      <c r="AC18" s="180"/>
      <c r="AD18" s="181"/>
      <c r="AK18" s="315" t="s">
        <v>252</v>
      </c>
      <c r="AL18" s="315"/>
      <c r="AM18" s="315"/>
      <c r="AN18" s="315"/>
      <c r="AO18" s="53">
        <v>0.7</v>
      </c>
      <c r="AP18" s="53">
        <v>0.5</v>
      </c>
      <c r="AQ18" s="52">
        <v>0</v>
      </c>
    </row>
    <row r="19" spans="2:43" ht="15" customHeight="1" x14ac:dyDescent="0.25">
      <c r="B19" s="133"/>
      <c r="C19" s="133" t="s">
        <v>140</v>
      </c>
      <c r="D19" s="133" t="s">
        <v>102</v>
      </c>
      <c r="E19" s="133" t="s">
        <v>160</v>
      </c>
      <c r="G19" s="133"/>
      <c r="H19" s="133" t="s">
        <v>140</v>
      </c>
      <c r="I19" s="133" t="s">
        <v>102</v>
      </c>
      <c r="J19" s="133" t="s">
        <v>160</v>
      </c>
      <c r="L19" s="133"/>
      <c r="M19" s="133" t="s">
        <v>140</v>
      </c>
      <c r="N19" s="133" t="s">
        <v>102</v>
      </c>
      <c r="O19" s="133" t="s">
        <v>160</v>
      </c>
      <c r="Q19" s="133"/>
      <c r="R19" s="133" t="s">
        <v>140</v>
      </c>
      <c r="S19" s="133" t="s">
        <v>102</v>
      </c>
      <c r="T19" s="133" t="s">
        <v>160</v>
      </c>
      <c r="V19" s="133"/>
      <c r="W19" s="133" t="s">
        <v>140</v>
      </c>
      <c r="X19" s="133" t="s">
        <v>102</v>
      </c>
      <c r="Y19" s="133" t="s">
        <v>160</v>
      </c>
      <c r="AA19" s="169" t="s">
        <v>27</v>
      </c>
      <c r="AB19" s="169"/>
      <c r="AC19" s="169"/>
      <c r="AD19" s="160">
        <v>1.3</v>
      </c>
      <c r="AK19" s="315" t="s">
        <v>25</v>
      </c>
      <c r="AL19" s="315"/>
      <c r="AM19" s="315"/>
      <c r="AN19" s="315"/>
      <c r="AO19" s="53">
        <v>0.6</v>
      </c>
      <c r="AP19" s="53">
        <v>0.5</v>
      </c>
      <c r="AQ19" s="52">
        <v>0</v>
      </c>
    </row>
    <row r="20" spans="2:43" ht="15" customHeight="1" x14ac:dyDescent="0.25">
      <c r="B20" s="133" t="s">
        <v>142</v>
      </c>
      <c r="C20" s="5">
        <f>(4.5/2)*(4.8/2)</f>
        <v>5.3999999999999995</v>
      </c>
      <c r="D20" s="5">
        <f>$AI$7</f>
        <v>10.056335000000001</v>
      </c>
      <c r="E20" s="5">
        <f>$AF$7</f>
        <v>6.0279500000000006</v>
      </c>
      <c r="G20" s="133" t="s">
        <v>142</v>
      </c>
      <c r="H20" s="5">
        <f>(5/2)*(5.3/2)+(5/2)*(4.8/2)</f>
        <v>12.625</v>
      </c>
      <c r="I20" s="5">
        <f>$AI$7</f>
        <v>10.056335000000001</v>
      </c>
      <c r="J20" s="5">
        <f>$AF$7</f>
        <v>6.0279500000000006</v>
      </c>
      <c r="L20" s="133" t="s">
        <v>142</v>
      </c>
      <c r="M20" s="5">
        <f>1.2*(5/2)*(5.3/2)+1.2*(5/2)*(4.8/2)+1.2*(3.9/2)*(4.9/2)+1.2*(3.9/2)*(5/2)</f>
        <v>26.732999999999997</v>
      </c>
      <c r="N20" s="5">
        <f>$AI$7</f>
        <v>10.056335000000001</v>
      </c>
      <c r="O20" s="5">
        <f>$AF$7</f>
        <v>6.0279500000000006</v>
      </c>
      <c r="Q20" s="133" t="s">
        <v>142</v>
      </c>
      <c r="R20" s="5">
        <f>1.2*(3.9/2)*(4.9/2)+1.2*(4.4/2)*(4.9/2)+1.2*(3.9/2)*(5/2)</f>
        <v>18.051000000000002</v>
      </c>
      <c r="S20" s="5">
        <f>$AI$7</f>
        <v>10.056335000000001</v>
      </c>
      <c r="T20" s="5">
        <f>$AF$7</f>
        <v>6.0279500000000006</v>
      </c>
      <c r="V20" s="133" t="s">
        <v>142</v>
      </c>
      <c r="W20" s="5">
        <f>1.2*(4.4/2)*(4.9/2)+1.2*(4.8/2)*(4.8/2)+1.2*(4.8/2)*(5/2)</f>
        <v>20.58</v>
      </c>
      <c r="X20" s="5">
        <f>$AI$7</f>
        <v>10.056335000000001</v>
      </c>
      <c r="Y20" s="5">
        <f>$AF$7</f>
        <v>6.0279500000000006</v>
      </c>
      <c r="AA20" s="169" t="s">
        <v>28</v>
      </c>
      <c r="AB20" s="169"/>
      <c r="AC20" s="169"/>
      <c r="AD20" s="160">
        <v>1.5</v>
      </c>
    </row>
    <row r="21" spans="2:43" ht="15" customHeight="1" x14ac:dyDescent="0.25">
      <c r="B21" s="133" t="s">
        <v>143</v>
      </c>
      <c r="C21" s="5">
        <v>0</v>
      </c>
      <c r="D21" s="5">
        <f>$AI$9</f>
        <v>10.560335</v>
      </c>
      <c r="E21" s="5">
        <f>$AF$9</f>
        <v>5.9079499999999996</v>
      </c>
      <c r="G21" s="133" t="s">
        <v>143</v>
      </c>
      <c r="H21" s="5">
        <v>0</v>
      </c>
      <c r="I21" s="5">
        <f>$AI$9</f>
        <v>10.560335</v>
      </c>
      <c r="J21" s="5">
        <f>$AF$9</f>
        <v>5.9079499999999996</v>
      </c>
      <c r="L21" s="133" t="s">
        <v>143</v>
      </c>
      <c r="M21" s="5">
        <v>0</v>
      </c>
      <c r="N21" s="5">
        <f>$AI$9</f>
        <v>10.560335</v>
      </c>
      <c r="O21" s="5">
        <f>$AF$9</f>
        <v>5.9079499999999996</v>
      </c>
      <c r="Q21" s="133" t="s">
        <v>143</v>
      </c>
      <c r="R21" s="5">
        <v>0</v>
      </c>
      <c r="S21" s="5">
        <f>$AI$9</f>
        <v>10.560335</v>
      </c>
      <c r="T21" s="5">
        <f>$AF$9</f>
        <v>5.9079499999999996</v>
      </c>
      <c r="V21" s="133" t="s">
        <v>143</v>
      </c>
      <c r="W21" s="5">
        <v>0</v>
      </c>
      <c r="X21" s="5">
        <f>$AI$9</f>
        <v>10.560335</v>
      </c>
      <c r="Y21" s="5">
        <f>$AF$9</f>
        <v>5.9079499999999996</v>
      </c>
      <c r="AA21" s="169" t="s">
        <v>29</v>
      </c>
      <c r="AB21" s="169"/>
      <c r="AC21" s="169"/>
      <c r="AD21" s="160">
        <v>1</v>
      </c>
    </row>
    <row r="22" spans="2:43" ht="15" customHeight="1" x14ac:dyDescent="0.25">
      <c r="B22" s="133" t="s">
        <v>144</v>
      </c>
      <c r="C22" s="5">
        <f>(4.46/2)</f>
        <v>2.23</v>
      </c>
      <c r="D22" s="5">
        <f>$AI$15</f>
        <v>4.758</v>
      </c>
      <c r="E22" s="5">
        <f>$AF$15</f>
        <v>3.66</v>
      </c>
      <c r="G22" s="133" t="s">
        <v>144</v>
      </c>
      <c r="H22" s="5">
        <f>(4.85/2)+(5.44/2)+(5.15/2)</f>
        <v>7.72</v>
      </c>
      <c r="I22" s="5">
        <f>$AI$15</f>
        <v>4.758</v>
      </c>
      <c r="J22" s="5">
        <f>$AF$15</f>
        <v>3.66</v>
      </c>
      <c r="L22" s="133" t="s">
        <v>144</v>
      </c>
      <c r="M22" s="5">
        <f>1.2*(5.44/2)+(4.16/2)</f>
        <v>5.3440000000000003</v>
      </c>
      <c r="N22" s="5">
        <f>$AI$15</f>
        <v>4.758</v>
      </c>
      <c r="O22" s="5">
        <f>$AF$15</f>
        <v>3.66</v>
      </c>
      <c r="Q22" s="133" t="s">
        <v>144</v>
      </c>
      <c r="R22" s="5">
        <f>(4.16/2)+1.2*(4.85/2)+(4.5/2)+1.2*(5.44/2)</f>
        <v>10.504000000000001</v>
      </c>
      <c r="S22" s="5">
        <f>$AI$15</f>
        <v>4.758</v>
      </c>
      <c r="T22" s="5">
        <f>$AF$15</f>
        <v>3.66</v>
      </c>
      <c r="V22" s="133" t="s">
        <v>144</v>
      </c>
      <c r="W22" s="5">
        <f>1.2*(4.85/2)+1.2*(5.44/2)+(4.5/2)+(4.94/2)</f>
        <v>10.894</v>
      </c>
      <c r="X22" s="5">
        <f>$AI$15</f>
        <v>4.758</v>
      </c>
      <c r="Y22" s="5">
        <f>$AF$15</f>
        <v>3.66</v>
      </c>
    </row>
    <row r="23" spans="2:43" x14ac:dyDescent="0.25">
      <c r="B23" s="133" t="s">
        <v>145</v>
      </c>
      <c r="C23" s="5">
        <v>0</v>
      </c>
      <c r="D23" s="5">
        <f>$AI$10</f>
        <v>17.240725948587251</v>
      </c>
      <c r="E23" s="5">
        <f>$AF$10</f>
        <v>11.04671226814404</v>
      </c>
      <c r="G23" s="133" t="s">
        <v>145</v>
      </c>
      <c r="H23" s="5">
        <v>0</v>
      </c>
      <c r="I23" s="5">
        <f>$AI$10</f>
        <v>17.240725948587251</v>
      </c>
      <c r="J23" s="5">
        <f>$AF$10</f>
        <v>11.04671226814404</v>
      </c>
      <c r="L23" s="133" t="s">
        <v>144</v>
      </c>
      <c r="M23" s="5">
        <f>1.2*(5.05/2)+1.2*(5.15/2)</f>
        <v>6.12</v>
      </c>
      <c r="N23" s="5">
        <f>$AI$13</f>
        <v>1.0530000000000002</v>
      </c>
      <c r="O23" s="5">
        <f>$AF$13</f>
        <v>0.81000000000000016</v>
      </c>
      <c r="Q23" s="133" t="s">
        <v>145</v>
      </c>
      <c r="R23" s="5">
        <f>1.2*(4.2/2)*(5.3/2)</f>
        <v>6.6779999999999999</v>
      </c>
      <c r="S23" s="5">
        <f>$AI$10</f>
        <v>17.240725948587251</v>
      </c>
      <c r="T23" s="5">
        <f>$AF$10</f>
        <v>11.04671226814404</v>
      </c>
      <c r="V23" s="133" t="s">
        <v>145</v>
      </c>
      <c r="W23" s="5">
        <f>1.2*(4.2/2)*(5.3/2)</f>
        <v>6.6779999999999999</v>
      </c>
      <c r="X23" s="5">
        <f>$AI$10</f>
        <v>17.240725948587251</v>
      </c>
      <c r="Y23" s="5">
        <f>$AF$10</f>
        <v>11.04671226814404</v>
      </c>
    </row>
    <row r="24" spans="2:43" x14ac:dyDescent="0.25">
      <c r="B24" s="133" t="s">
        <v>146</v>
      </c>
      <c r="C24" s="5">
        <f>(3.6/2)*C3</f>
        <v>4.734</v>
      </c>
      <c r="D24" s="5">
        <f>$AI$11</f>
        <v>7.8000000000000007</v>
      </c>
      <c r="E24" s="5">
        <f>$AF$11</f>
        <v>6</v>
      </c>
      <c r="G24" s="133" t="s">
        <v>146</v>
      </c>
      <c r="H24" s="5">
        <f>((4/2)+(4.6/2))*C3</f>
        <v>11.308999999999999</v>
      </c>
      <c r="I24" s="5">
        <f>$AI$11</f>
        <v>7.8000000000000007</v>
      </c>
      <c r="J24" s="5">
        <f>$AF$11</f>
        <v>6</v>
      </c>
      <c r="L24" s="133" t="s">
        <v>145</v>
      </c>
      <c r="M24" s="5">
        <v>0</v>
      </c>
      <c r="N24" s="5">
        <f>$AI$10</f>
        <v>17.240725948587251</v>
      </c>
      <c r="O24" s="5">
        <f>$AF$10</f>
        <v>11.04671226814404</v>
      </c>
      <c r="Q24" s="133" t="s">
        <v>146</v>
      </c>
      <c r="R24" s="5">
        <f>(1.2*(4/2)+1.2*(4.6/2))*C3</f>
        <v>13.5708</v>
      </c>
      <c r="S24" s="5">
        <f>$AI$11</f>
        <v>7.8000000000000007</v>
      </c>
      <c r="T24" s="5">
        <f>$AF$11</f>
        <v>6</v>
      </c>
      <c r="V24" s="133" t="s">
        <v>146</v>
      </c>
      <c r="W24" s="5">
        <f>(1.2*(4.6/2))*C3</f>
        <v>7.258799999999999</v>
      </c>
      <c r="X24" s="5">
        <f>$AI$11</f>
        <v>7.8000000000000007</v>
      </c>
      <c r="Y24" s="5">
        <f>$AF$11</f>
        <v>6</v>
      </c>
    </row>
    <row r="25" spans="2:43" x14ac:dyDescent="0.25">
      <c r="B25" s="349"/>
      <c r="C25" s="349"/>
      <c r="D25" s="5">
        <f>C$20*D20+C$21*D21+C$22*D22+C$23*D23+C$24*D24</f>
        <v>101.839749</v>
      </c>
      <c r="E25" s="5">
        <f>C$20*E20+C$21*E21+C$22*E22+C$23*E23+C$24*E24</f>
        <v>69.116730000000004</v>
      </c>
      <c r="G25" s="349"/>
      <c r="H25" s="349"/>
      <c r="I25" s="5">
        <f>H$20*I20+H$21*I21+H$23*I22+H$22*I23+H$24*I24</f>
        <v>348.26983369809358</v>
      </c>
      <c r="J25" s="5">
        <f>H$20*J20+H$21*J21+H$23*J22+H$22*J23+H$24*J24</f>
        <v>229.23748746007197</v>
      </c>
      <c r="L25" s="133" t="s">
        <v>146</v>
      </c>
      <c r="M25" s="5">
        <v>0</v>
      </c>
      <c r="N25" s="5">
        <f>$AI$11</f>
        <v>7.8000000000000007</v>
      </c>
      <c r="O25" s="5">
        <f>$AF$11</f>
        <v>6</v>
      </c>
      <c r="Q25" s="349"/>
      <c r="R25" s="349"/>
      <c r="S25" s="5">
        <f>R$20*S20+R$21*S21+R$22*S22+R$23*S23+R$24*S24</f>
        <v>452.49074296966575</v>
      </c>
      <c r="T25" s="5">
        <f>R$20*T20+R$21*T21+R$22*T22+R$23*T23+R$24*T24</f>
        <v>302.44990997666594</v>
      </c>
      <c r="V25" s="349"/>
      <c r="W25" s="349"/>
      <c r="X25" s="5">
        <f>W$20*X20+W$21*X21+W$22*X22+W$23*X23+W$24*X24</f>
        <v>430.54523418466567</v>
      </c>
      <c r="Y25" s="5">
        <f>W$20*Y20+W$21*Y21+W$22*Y22+W$23*Y23+W$24*Y24</f>
        <v>281.24999552666588</v>
      </c>
    </row>
    <row r="26" spans="2:43" x14ac:dyDescent="0.25">
      <c r="B26" s="169" t="s">
        <v>147</v>
      </c>
      <c r="C26" s="169"/>
      <c r="D26" s="5">
        <f>$AG$14</f>
        <v>18.291</v>
      </c>
      <c r="E26" s="5">
        <f>$AF$14</f>
        <v>14.069999999999999</v>
      </c>
      <c r="G26" s="169" t="s">
        <v>147</v>
      </c>
      <c r="H26" s="169"/>
      <c r="I26" s="5">
        <f>$AG$14</f>
        <v>18.291</v>
      </c>
      <c r="J26" s="5">
        <f>$AF$14</f>
        <v>14.069999999999999</v>
      </c>
      <c r="L26" s="349"/>
      <c r="M26" s="349"/>
      <c r="N26" s="5">
        <f>M$20*N20+M$21*N21+M$22*N22+M$24*N24+M$25*N25</f>
        <v>294.26275555500001</v>
      </c>
      <c r="O26" s="5">
        <f>M$20*O20+M$21*O21+M$22*O22+M$24*O24+M$25*O25</f>
        <v>180.70422735</v>
      </c>
      <c r="Q26" s="169" t="s">
        <v>147</v>
      </c>
      <c r="R26" s="169"/>
      <c r="S26" s="5">
        <f>$AG$14</f>
        <v>18.291</v>
      </c>
      <c r="T26" s="5">
        <f>$AF$14</f>
        <v>14.069999999999999</v>
      </c>
      <c r="V26" s="169" t="s">
        <v>147</v>
      </c>
      <c r="W26" s="169"/>
      <c r="X26" s="5">
        <f>$AG$14</f>
        <v>18.291</v>
      </c>
      <c r="Y26" s="5">
        <f>$AF$14</f>
        <v>14.069999999999999</v>
      </c>
    </row>
    <row r="27" spans="2:43" x14ac:dyDescent="0.25">
      <c r="B27" s="169" t="s">
        <v>109</v>
      </c>
      <c r="C27" s="169"/>
      <c r="D27" s="5">
        <f>SUM(D25:D26)</f>
        <v>120.13074899999999</v>
      </c>
      <c r="E27" s="5">
        <f>SUM(E25:E26)</f>
        <v>83.186729999999997</v>
      </c>
      <c r="G27" s="169" t="s">
        <v>109</v>
      </c>
      <c r="H27" s="169"/>
      <c r="I27" s="5">
        <f>SUM(I25:I26)</f>
        <v>366.56083369809357</v>
      </c>
      <c r="J27" s="5">
        <f>SUM(J25:J26)</f>
        <v>243.30748746007197</v>
      </c>
      <c r="L27" s="169" t="s">
        <v>147</v>
      </c>
      <c r="M27" s="169"/>
      <c r="N27" s="5">
        <f>$AG$14</f>
        <v>18.291</v>
      </c>
      <c r="O27" s="5">
        <f>$AF$14</f>
        <v>14.069999999999999</v>
      </c>
      <c r="Q27" s="169" t="s">
        <v>109</v>
      </c>
      <c r="R27" s="169"/>
      <c r="S27" s="5">
        <f>SUM(S25:S26)</f>
        <v>470.78174296966574</v>
      </c>
      <c r="T27" s="5">
        <f>SUM(T25:T26)</f>
        <v>316.51990997666593</v>
      </c>
      <c r="V27" s="169" t="s">
        <v>109</v>
      </c>
      <c r="W27" s="169"/>
      <c r="X27" s="5">
        <f>SUM(X25:X26)</f>
        <v>448.83623418466567</v>
      </c>
      <c r="Y27" s="5">
        <f>SUM(Y25:Y26)</f>
        <v>295.31999552666588</v>
      </c>
    </row>
    <row r="28" spans="2:43" x14ac:dyDescent="0.25">
      <c r="L28" s="169" t="s">
        <v>109</v>
      </c>
      <c r="M28" s="169"/>
      <c r="N28" s="5">
        <f>SUM(N26:N27)</f>
        <v>312.55375555500001</v>
      </c>
      <c r="O28" s="5">
        <f>SUM(O26:O27)</f>
        <v>194.77422734999999</v>
      </c>
    </row>
    <row r="30" spans="2:43" ht="18.75" x14ac:dyDescent="0.25">
      <c r="B30" s="348" t="s">
        <v>152</v>
      </c>
      <c r="C30" s="348"/>
      <c r="D30" s="348"/>
      <c r="E30" s="348"/>
      <c r="G30" s="348" t="s">
        <v>153</v>
      </c>
      <c r="H30" s="348"/>
      <c r="I30" s="348"/>
      <c r="J30" s="348"/>
      <c r="L30" s="348" t="s">
        <v>154</v>
      </c>
      <c r="M30" s="348"/>
      <c r="N30" s="348"/>
      <c r="O30" s="348"/>
      <c r="Q30" s="348" t="s">
        <v>155</v>
      </c>
      <c r="R30" s="348"/>
      <c r="S30" s="348"/>
      <c r="T30" s="348"/>
      <c r="V30" s="348" t="s">
        <v>156</v>
      </c>
      <c r="W30" s="348"/>
      <c r="X30" s="348"/>
      <c r="Y30" s="348"/>
    </row>
    <row r="31" spans="2:43" x14ac:dyDescent="0.25">
      <c r="B31" s="133"/>
      <c r="C31" s="133" t="s">
        <v>140</v>
      </c>
      <c r="D31" s="133" t="s">
        <v>102</v>
      </c>
      <c r="E31" s="133" t="s">
        <v>160</v>
      </c>
      <c r="G31" s="133"/>
      <c r="H31" s="133" t="s">
        <v>140</v>
      </c>
      <c r="I31" s="133" t="s">
        <v>102</v>
      </c>
      <c r="J31" s="133" t="s">
        <v>160</v>
      </c>
      <c r="L31" s="133"/>
      <c r="M31" s="133" t="s">
        <v>140</v>
      </c>
      <c r="N31" s="133" t="s">
        <v>102</v>
      </c>
      <c r="O31" s="133" t="s">
        <v>160</v>
      </c>
      <c r="Q31" s="133"/>
      <c r="R31" s="133" t="s">
        <v>140</v>
      </c>
      <c r="S31" s="133" t="s">
        <v>102</v>
      </c>
      <c r="T31" s="133" t="s">
        <v>160</v>
      </c>
      <c r="V31" s="133"/>
      <c r="W31" s="133" t="s">
        <v>140</v>
      </c>
      <c r="X31" s="133" t="s">
        <v>102</v>
      </c>
      <c r="Y31" s="133" t="s">
        <v>160</v>
      </c>
    </row>
    <row r="32" spans="2:43" x14ac:dyDescent="0.25">
      <c r="B32" s="133" t="s">
        <v>142</v>
      </c>
      <c r="C32" s="5">
        <f>1.2*(4.8/2)*(4.8/2)+1.2*(4.8/2)*(5/2)+1.2*(4.5/2)*(4.8/2)+1.2*(4.5/2)*(5/2)</f>
        <v>27.341999999999999</v>
      </c>
      <c r="D32" s="5">
        <f>$AI$7</f>
        <v>10.056335000000001</v>
      </c>
      <c r="E32" s="5">
        <f>$AF$7</f>
        <v>6.0279500000000006</v>
      </c>
      <c r="G32" s="133" t="s">
        <v>142</v>
      </c>
      <c r="H32" s="5">
        <f>1.2*(4.5/2)*(4.8/2)+1.2*(4.5/2)*(5/2)</f>
        <v>13.229999999999999</v>
      </c>
      <c r="I32" s="5">
        <f>$AI$7</f>
        <v>10.056335000000001</v>
      </c>
      <c r="J32" s="5">
        <f>$AF$7</f>
        <v>6.0279500000000006</v>
      </c>
      <c r="L32" s="133" t="s">
        <v>142</v>
      </c>
      <c r="M32" s="5">
        <f>(5.3/2)*(5/2)</f>
        <v>6.625</v>
      </c>
      <c r="N32" s="5">
        <f>$AI$7</f>
        <v>10.056335000000001</v>
      </c>
      <c r="O32" s="5">
        <f>$AF$7</f>
        <v>6.0279500000000006</v>
      </c>
      <c r="Q32" s="133" t="s">
        <v>142</v>
      </c>
      <c r="R32" s="5">
        <f>(5.3/2)*(5/2)+(3.9/2)*(5/2)</f>
        <v>11.5</v>
      </c>
      <c r="S32" s="5">
        <f>$AI$7</f>
        <v>10.056335000000001</v>
      </c>
      <c r="T32" s="5">
        <f>$AF$7</f>
        <v>6.0279500000000006</v>
      </c>
      <c r="V32" s="133" t="s">
        <v>142</v>
      </c>
      <c r="W32" s="5">
        <f>(3.9/2)*(5/2)</f>
        <v>4.875</v>
      </c>
      <c r="X32" s="5">
        <f>$AI$7</f>
        <v>10.056335000000001</v>
      </c>
      <c r="Y32" s="5">
        <f>$AF$7</f>
        <v>6.0279500000000006</v>
      </c>
    </row>
    <row r="33" spans="2:25" x14ac:dyDescent="0.25">
      <c r="B33" s="133" t="s">
        <v>143</v>
      </c>
      <c r="C33" s="5">
        <v>0</v>
      </c>
      <c r="D33" s="5">
        <f>$AI$9</f>
        <v>10.560335</v>
      </c>
      <c r="E33" s="5">
        <f>$AF$9</f>
        <v>5.9079499999999996</v>
      </c>
      <c r="G33" s="133" t="s">
        <v>143</v>
      </c>
      <c r="H33" s="5">
        <v>0</v>
      </c>
      <c r="I33" s="5">
        <f>$AI$9</f>
        <v>10.560335</v>
      </c>
      <c r="J33" s="5">
        <f>$AF$9</f>
        <v>5.9079499999999996</v>
      </c>
      <c r="L33" s="133" t="s">
        <v>143</v>
      </c>
      <c r="M33" s="5">
        <v>0</v>
      </c>
      <c r="N33" s="5">
        <f>$AI$9</f>
        <v>10.560335</v>
      </c>
      <c r="O33" s="5">
        <f>$AF$9</f>
        <v>5.9079499999999996</v>
      </c>
      <c r="Q33" s="133" t="s">
        <v>143</v>
      </c>
      <c r="R33" s="5">
        <f>(4.4/2)*1.5</f>
        <v>3.3000000000000003</v>
      </c>
      <c r="S33" s="5">
        <f>$AI$9</f>
        <v>10.560335</v>
      </c>
      <c r="T33" s="5">
        <f>$AF$9</f>
        <v>5.9079499999999996</v>
      </c>
      <c r="V33" s="133" t="s">
        <v>143</v>
      </c>
      <c r="W33" s="5">
        <f>(4.4/2)*1.5</f>
        <v>3.3000000000000003</v>
      </c>
      <c r="X33" s="5">
        <f>$AI$9</f>
        <v>10.560335</v>
      </c>
      <c r="Y33" s="5">
        <f>$AF$9</f>
        <v>5.9079499999999996</v>
      </c>
    </row>
    <row r="34" spans="2:25" x14ac:dyDescent="0.25">
      <c r="B34" s="133" t="s">
        <v>144</v>
      </c>
      <c r="C34" s="5">
        <f>(4.94/2)+1.2*(4.65/2)</f>
        <v>5.26</v>
      </c>
      <c r="D34" s="5">
        <f>$AI$15</f>
        <v>4.758</v>
      </c>
      <c r="E34" s="5">
        <f>$AF$15</f>
        <v>3.66</v>
      </c>
      <c r="G34" s="133" t="s">
        <v>144</v>
      </c>
      <c r="H34" s="5">
        <f>1.2*(5.05/2)+1.2*(4.95/2)+(4.65/2)</f>
        <v>8.3249999999999993</v>
      </c>
      <c r="I34" s="5">
        <f>$AI$15</f>
        <v>4.758</v>
      </c>
      <c r="J34" s="5">
        <f>$AF$15</f>
        <v>3.66</v>
      </c>
      <c r="L34" s="133" t="s">
        <v>144</v>
      </c>
      <c r="M34" s="5">
        <f>(5.15/2)+(5.25/2)</f>
        <v>5.2</v>
      </c>
      <c r="N34" s="5">
        <f>$AI$15</f>
        <v>4.758</v>
      </c>
      <c r="O34" s="5">
        <f>$AF$15</f>
        <v>3.66</v>
      </c>
      <c r="Q34" s="133" t="s">
        <v>144</v>
      </c>
      <c r="R34" s="5">
        <f>1.2*(5.25/2)+(4.15/2)</f>
        <v>5.2249999999999996</v>
      </c>
      <c r="S34" s="5">
        <f>$AI$15</f>
        <v>4.758</v>
      </c>
      <c r="T34" s="5">
        <f>$AF$15</f>
        <v>3.66</v>
      </c>
      <c r="V34" s="133" t="s">
        <v>144</v>
      </c>
      <c r="W34" s="5">
        <f>(4.15/2)+(4.5/2)+(5.44/2)</f>
        <v>7.0449999999999999</v>
      </c>
      <c r="X34" s="5">
        <f>$AI$15</f>
        <v>4.758</v>
      </c>
      <c r="Y34" s="5">
        <f>$AF$15</f>
        <v>3.66</v>
      </c>
    </row>
    <row r="35" spans="2:25" x14ac:dyDescent="0.25">
      <c r="B35" s="133" t="s">
        <v>144</v>
      </c>
      <c r="C35" s="5">
        <f>1.2*(5.05/2)+1.2*(5.15/2)</f>
        <v>6.12</v>
      </c>
      <c r="D35" s="5">
        <f>$AI$13</f>
        <v>1.0530000000000002</v>
      </c>
      <c r="E35" s="5">
        <f>$AF$13</f>
        <v>0.81000000000000016</v>
      </c>
      <c r="G35" s="133" t="s">
        <v>145</v>
      </c>
      <c r="H35" s="5">
        <v>0</v>
      </c>
      <c r="I35" s="5">
        <f>$AI$10</f>
        <v>17.240725948587251</v>
      </c>
      <c r="J35" s="5">
        <f>$AF$10</f>
        <v>11.04671226814404</v>
      </c>
      <c r="L35" s="133" t="s">
        <v>145</v>
      </c>
      <c r="M35" s="5">
        <v>0</v>
      </c>
      <c r="N35" s="5">
        <f>$AI$10</f>
        <v>17.240725948587251</v>
      </c>
      <c r="O35" s="5">
        <f>$AF$10</f>
        <v>11.04671226814404</v>
      </c>
      <c r="Q35" s="133" t="s">
        <v>144</v>
      </c>
      <c r="R35" s="5">
        <f>(5.15/2)</f>
        <v>2.5750000000000002</v>
      </c>
      <c r="S35" s="5">
        <f>$AI$13</f>
        <v>1.0530000000000002</v>
      </c>
      <c r="T35" s="5">
        <f>$AF$13</f>
        <v>0.81000000000000016</v>
      </c>
      <c r="V35" s="133" t="s">
        <v>145</v>
      </c>
      <c r="W35" s="5">
        <f>(4.2/2)*(5.3/2)</f>
        <v>5.5650000000000004</v>
      </c>
      <c r="X35" s="5">
        <f>$AI$10</f>
        <v>17.240725948587251</v>
      </c>
      <c r="Y35" s="5">
        <f>$AF$10</f>
        <v>11.04671226814404</v>
      </c>
    </row>
    <row r="36" spans="2:25" x14ac:dyDescent="0.25">
      <c r="B36" s="133" t="s">
        <v>145</v>
      </c>
      <c r="C36" s="5">
        <v>0</v>
      </c>
      <c r="D36" s="5">
        <f>$AI$10</f>
        <v>17.240725948587251</v>
      </c>
      <c r="E36" s="5">
        <f>$AF$10</f>
        <v>11.04671226814404</v>
      </c>
      <c r="G36" s="133" t="s">
        <v>146</v>
      </c>
      <c r="H36" s="5">
        <f>(1.2*(4.5/2)+1.2*(4.2/2))*C3</f>
        <v>13.728599999999998</v>
      </c>
      <c r="I36" s="5">
        <f>$AI$11</f>
        <v>7.8000000000000007</v>
      </c>
      <c r="J36" s="5">
        <f>$AF$11</f>
        <v>6</v>
      </c>
      <c r="L36" s="133" t="s">
        <v>146</v>
      </c>
      <c r="M36" s="5">
        <f>((4.6/2)+(4.4/2))*C3</f>
        <v>11.834999999999999</v>
      </c>
      <c r="N36" s="5">
        <f>$AI$11</f>
        <v>7.8000000000000007</v>
      </c>
      <c r="O36" s="5">
        <f>$AF$11</f>
        <v>6</v>
      </c>
      <c r="Q36" s="133" t="s">
        <v>145</v>
      </c>
      <c r="R36" s="5">
        <v>0</v>
      </c>
      <c r="S36" s="5">
        <f>$AI$10</f>
        <v>17.240725948587251</v>
      </c>
      <c r="T36" s="5">
        <f>$AF$10</f>
        <v>11.04671226814404</v>
      </c>
      <c r="V36" s="133" t="s">
        <v>146</v>
      </c>
      <c r="W36" s="5">
        <f>((3.6/2)+(4.2/2)+(4.6/2))*C3</f>
        <v>16.306000000000001</v>
      </c>
      <c r="X36" s="5">
        <f>$AI$11</f>
        <v>7.8000000000000007</v>
      </c>
      <c r="Y36" s="5">
        <f>$AF$11</f>
        <v>6</v>
      </c>
    </row>
    <row r="37" spans="2:25" x14ac:dyDescent="0.25">
      <c r="B37" s="133" t="s">
        <v>146</v>
      </c>
      <c r="C37" s="5">
        <v>0</v>
      </c>
      <c r="D37" s="5">
        <f>$AI$11</f>
        <v>7.8000000000000007</v>
      </c>
      <c r="E37" s="5">
        <f>$AF$11</f>
        <v>6</v>
      </c>
      <c r="G37" s="349"/>
      <c r="H37" s="349"/>
      <c r="I37" s="5">
        <f>H$32*I32+H$33*I33+H$34*I34+H$35*I35+H$36*I36</f>
        <v>279.73874204999998</v>
      </c>
      <c r="J37" s="5">
        <f>H$32*J32+H$33*J33+H$34*J34+H$35*J35+H$36*J36</f>
        <v>192.59087849999997</v>
      </c>
      <c r="L37" s="349"/>
      <c r="M37" s="349"/>
      <c r="N37" s="5">
        <f>M$32*N32+M$33*N33+M$34*N34+M$35*N35+M$36*N36</f>
        <v>183.67781937500001</v>
      </c>
      <c r="O37" s="5">
        <f>M$32*O32+M$33*O33+M$34*O34+M$35*O35+M$36*O36</f>
        <v>129.97716874999998</v>
      </c>
      <c r="Q37" s="133" t="s">
        <v>146</v>
      </c>
      <c r="R37" s="5">
        <f>((4.4/2)+(3.6/2))*C3</f>
        <v>10.52</v>
      </c>
      <c r="S37" s="5">
        <f>$AI$11</f>
        <v>7.8000000000000007</v>
      </c>
      <c r="T37" s="5">
        <f>$AF$11</f>
        <v>6</v>
      </c>
      <c r="V37" s="349"/>
      <c r="W37" s="349"/>
      <c r="X37" s="5">
        <f>W$32*X32+W$33*X33+W$34*X34+W$35*X35+W$36*X36</f>
        <v>340.5252885288881</v>
      </c>
      <c r="Y37" s="5">
        <f>W$32*Y32+W$33*Y33+W$34*Y34+W$35*Y35+W$36*Y36</f>
        <v>233.97814502222161</v>
      </c>
    </row>
    <row r="38" spans="2:25" x14ac:dyDescent="0.25">
      <c r="B38" s="349"/>
      <c r="C38" s="349"/>
      <c r="D38" s="5">
        <f>C$32*D32+C$33*D33+C$34*D34+C$36*D36+C$37*D37</f>
        <v>299.98739157</v>
      </c>
      <c r="E38" s="5">
        <f>C32*E32+C33*E33+C34*E34+C36*E36+C37*E37</f>
        <v>184.06780890000002</v>
      </c>
      <c r="G38" s="169" t="s">
        <v>147</v>
      </c>
      <c r="H38" s="169"/>
      <c r="I38" s="5">
        <f>$AG$14</f>
        <v>18.291</v>
      </c>
      <c r="J38" s="5">
        <f>$AF$14</f>
        <v>14.069999999999999</v>
      </c>
      <c r="L38" s="169" t="s">
        <v>147</v>
      </c>
      <c r="M38" s="169"/>
      <c r="N38" s="5">
        <f>$AG$14</f>
        <v>18.291</v>
      </c>
      <c r="O38" s="5">
        <f>$AF$14</f>
        <v>14.069999999999999</v>
      </c>
      <c r="Q38" s="349"/>
      <c r="R38" s="349"/>
      <c r="S38" s="5">
        <f>R$32*S32+R$33*S33+R$34*S34+R$36*S36+R$37*S37</f>
        <v>257.41350799999998</v>
      </c>
      <c r="T38" s="5">
        <f>R$32*T32+R$33*T33+R$34*T34+R$36*T36+R$37*T37</f>
        <v>171.06116</v>
      </c>
      <c r="V38" s="169" t="s">
        <v>147</v>
      </c>
      <c r="W38" s="169"/>
      <c r="X38" s="5">
        <f>$AG$14</f>
        <v>18.291</v>
      </c>
      <c r="Y38" s="5">
        <f>$AF$14</f>
        <v>14.069999999999999</v>
      </c>
    </row>
    <row r="39" spans="2:25" x14ac:dyDescent="0.25">
      <c r="B39" s="169" t="s">
        <v>147</v>
      </c>
      <c r="C39" s="169"/>
      <c r="D39" s="5">
        <f>$AG$14</f>
        <v>18.291</v>
      </c>
      <c r="E39" s="5">
        <f>$AF$14</f>
        <v>14.069999999999999</v>
      </c>
      <c r="G39" s="169" t="s">
        <v>109</v>
      </c>
      <c r="H39" s="169"/>
      <c r="I39" s="5">
        <f>SUM(I37:I38)</f>
        <v>298.02974204999998</v>
      </c>
      <c r="J39" s="5">
        <f>SUM(J37:J38)</f>
        <v>206.66087849999997</v>
      </c>
      <c r="L39" s="169" t="s">
        <v>109</v>
      </c>
      <c r="M39" s="169"/>
      <c r="N39" s="5">
        <f>SUM(N37:N38)</f>
        <v>201.96881937500001</v>
      </c>
      <c r="O39" s="5">
        <f>SUM(O37:O38)</f>
        <v>144.04716874999997</v>
      </c>
      <c r="Q39" s="169" t="s">
        <v>147</v>
      </c>
      <c r="R39" s="169"/>
      <c r="S39" s="5">
        <f>$AG$14</f>
        <v>18.291</v>
      </c>
      <c r="T39" s="5">
        <f>$AF$14</f>
        <v>14.069999999999999</v>
      </c>
      <c r="V39" s="169" t="s">
        <v>109</v>
      </c>
      <c r="W39" s="169"/>
      <c r="X39" s="5">
        <f>SUM(X37:X38)</f>
        <v>358.81628852888809</v>
      </c>
      <c r="Y39" s="5">
        <f>SUM(Y37:Y38)</f>
        <v>248.0481450222216</v>
      </c>
    </row>
    <row r="40" spans="2:25" x14ac:dyDescent="0.25">
      <c r="B40" s="169" t="s">
        <v>109</v>
      </c>
      <c r="C40" s="169"/>
      <c r="D40" s="5">
        <f>SUM(D38:D39)</f>
        <v>318.27839157</v>
      </c>
      <c r="E40" s="5">
        <f>SUM(E38:E39)</f>
        <v>198.13780890000001</v>
      </c>
      <c r="Q40" s="169" t="s">
        <v>109</v>
      </c>
      <c r="R40" s="169"/>
      <c r="S40" s="5">
        <f>SUM(S38:S39)</f>
        <v>275.70450799999998</v>
      </c>
      <c r="T40" s="5">
        <f>SUM(T38:T39)</f>
        <v>185.13115999999999</v>
      </c>
    </row>
    <row r="42" spans="2:25" ht="18.75" x14ac:dyDescent="0.25">
      <c r="B42" s="348" t="s">
        <v>157</v>
      </c>
      <c r="C42" s="348"/>
      <c r="D42" s="348"/>
      <c r="E42" s="348"/>
      <c r="G42" s="348" t="s">
        <v>158</v>
      </c>
      <c r="H42" s="348"/>
      <c r="I42" s="348"/>
      <c r="J42" s="348"/>
      <c r="L42" s="348" t="s">
        <v>159</v>
      </c>
      <c r="M42" s="348"/>
      <c r="N42" s="348"/>
      <c r="O42" s="348"/>
    </row>
    <row r="43" spans="2:25" x14ac:dyDescent="0.25">
      <c r="B43" s="133"/>
      <c r="C43" s="133" t="s">
        <v>140</v>
      </c>
      <c r="D43" s="133" t="s">
        <v>102</v>
      </c>
      <c r="E43" s="133" t="s">
        <v>160</v>
      </c>
      <c r="G43" s="133"/>
      <c r="H43" s="133" t="s">
        <v>140</v>
      </c>
      <c r="I43" s="133" t="s">
        <v>102</v>
      </c>
      <c r="J43" s="133" t="s">
        <v>160</v>
      </c>
      <c r="L43" s="133"/>
      <c r="M43" s="133" t="s">
        <v>140</v>
      </c>
      <c r="N43" s="133" t="s">
        <v>102</v>
      </c>
      <c r="O43" s="133" t="s">
        <v>160</v>
      </c>
    </row>
    <row r="44" spans="2:25" x14ac:dyDescent="0.25">
      <c r="B44" s="133" t="s">
        <v>142</v>
      </c>
      <c r="C44" s="5">
        <f>(4.8/2)*(5/2)</f>
        <v>6</v>
      </c>
      <c r="D44" s="5">
        <f>$AI$7</f>
        <v>10.056335000000001</v>
      </c>
      <c r="E44" s="5">
        <f>$AF$7</f>
        <v>6.0279500000000006</v>
      </c>
      <c r="G44" s="133" t="s">
        <v>142</v>
      </c>
      <c r="H44" s="5">
        <f>(4.8/2)*(5/2)+(4.5/2)*(5/2)</f>
        <v>11.625</v>
      </c>
      <c r="I44" s="5">
        <f>$AI$7</f>
        <v>10.056335000000001</v>
      </c>
      <c r="J44" s="5">
        <f>$AF$7</f>
        <v>6.0279500000000006</v>
      </c>
      <c r="L44" s="133" t="s">
        <v>142</v>
      </c>
      <c r="M44" s="5">
        <f>(4.5/2)*(5/2)</f>
        <v>5.625</v>
      </c>
      <c r="N44" s="5">
        <f>$AI$7</f>
        <v>10.056335000000001</v>
      </c>
      <c r="O44" s="5">
        <f>$AF$7</f>
        <v>6.0279500000000006</v>
      </c>
    </row>
    <row r="45" spans="2:25" x14ac:dyDescent="0.25">
      <c r="B45" s="133" t="s">
        <v>143</v>
      </c>
      <c r="C45" s="5">
        <f>(4.4/2)*1.5</f>
        <v>3.3000000000000003</v>
      </c>
      <c r="D45" s="5">
        <f>$AI$9</f>
        <v>10.560335</v>
      </c>
      <c r="E45" s="5">
        <f>$AF$9</f>
        <v>5.9079499999999996</v>
      </c>
      <c r="G45" s="133" t="s">
        <v>143</v>
      </c>
      <c r="H45" s="5">
        <f>(4.4/2)*1.5</f>
        <v>3.3000000000000003</v>
      </c>
      <c r="I45" s="5">
        <f>$AI$9</f>
        <v>10.560335</v>
      </c>
      <c r="J45" s="5">
        <f>$AF$9</f>
        <v>5.9079499999999996</v>
      </c>
      <c r="L45" s="133" t="s">
        <v>143</v>
      </c>
      <c r="M45" s="5">
        <v>0</v>
      </c>
      <c r="N45" s="5">
        <f>$AI$9</f>
        <v>10.560335</v>
      </c>
      <c r="O45" s="5">
        <f>$AF$9</f>
        <v>5.9079499999999996</v>
      </c>
    </row>
    <row r="46" spans="2:25" x14ac:dyDescent="0.25">
      <c r="B46" s="133" t="s">
        <v>144</v>
      </c>
      <c r="C46" s="5">
        <f>(4.5/2)+(4.95/2)+(5.44/2)</f>
        <v>7.4450000000000003</v>
      </c>
      <c r="D46" s="5">
        <f>$AI$15</f>
        <v>4.758</v>
      </c>
      <c r="E46" s="5">
        <f>$AF$15</f>
        <v>3.66</v>
      </c>
      <c r="G46" s="133" t="s">
        <v>144</v>
      </c>
      <c r="H46" s="5">
        <f>(4.95/2)+(4.65/2)</f>
        <v>4.8000000000000007</v>
      </c>
      <c r="I46" s="5">
        <f>$AI$15</f>
        <v>4.758</v>
      </c>
      <c r="J46" s="5">
        <f>$AF$15</f>
        <v>3.66</v>
      </c>
      <c r="L46" s="133" t="s">
        <v>144</v>
      </c>
      <c r="M46" s="5">
        <f>(4.65/2)+(4.95/2)</f>
        <v>4.8000000000000007</v>
      </c>
      <c r="N46" s="5">
        <f>$AI$15</f>
        <v>4.758</v>
      </c>
      <c r="O46" s="5">
        <f>$AF$15</f>
        <v>3.66</v>
      </c>
    </row>
    <row r="47" spans="2:25" x14ac:dyDescent="0.25">
      <c r="B47" s="133" t="s">
        <v>145</v>
      </c>
      <c r="C47" s="5">
        <f>(4.2/2)*(5.3/2)</f>
        <v>5.5650000000000004</v>
      </c>
      <c r="D47" s="5">
        <f>$AI$10</f>
        <v>17.240725948587251</v>
      </c>
      <c r="E47" s="5">
        <f>$AF$10</f>
        <v>11.04671226814404</v>
      </c>
      <c r="G47" s="133" t="s">
        <v>144</v>
      </c>
      <c r="H47" s="5">
        <f>(5.15/2)</f>
        <v>2.5750000000000002</v>
      </c>
      <c r="I47" s="5">
        <f>$AI$13</f>
        <v>1.0530000000000002</v>
      </c>
      <c r="J47" s="5">
        <f>$AF$13</f>
        <v>0.81000000000000016</v>
      </c>
      <c r="L47" s="133" t="s">
        <v>145</v>
      </c>
      <c r="M47" s="5">
        <v>0</v>
      </c>
      <c r="N47" s="5">
        <f>$AI$10</f>
        <v>17.240725948587251</v>
      </c>
      <c r="O47" s="5">
        <f>$AF$10</f>
        <v>11.04671226814404</v>
      </c>
    </row>
    <row r="48" spans="2:25" x14ac:dyDescent="0.25">
      <c r="B48" s="133" t="s">
        <v>146</v>
      </c>
      <c r="C48" s="5">
        <f>((4.2/2)+(4.6/2)+(4.4/2))*C3</f>
        <v>17.358000000000001</v>
      </c>
      <c r="D48" s="5">
        <f>$AI$11</f>
        <v>7.8000000000000007</v>
      </c>
      <c r="E48" s="5">
        <f>$AF$11</f>
        <v>6</v>
      </c>
      <c r="G48" s="133" t="s">
        <v>145</v>
      </c>
      <c r="H48" s="5">
        <v>0</v>
      </c>
      <c r="I48" s="5">
        <f>$AI$10</f>
        <v>17.240725948587251</v>
      </c>
      <c r="J48" s="5">
        <f>$AF$10</f>
        <v>11.04671226814404</v>
      </c>
      <c r="L48" s="133" t="s">
        <v>146</v>
      </c>
      <c r="M48" s="5">
        <f>((4.1/2)+(4.2/2))*C3</f>
        <v>10.9145</v>
      </c>
      <c r="N48" s="5">
        <f>$AI$11</f>
        <v>7.8000000000000007</v>
      </c>
      <c r="O48" s="5">
        <f>$AF$11</f>
        <v>6</v>
      </c>
    </row>
    <row r="49" spans="2:15" x14ac:dyDescent="0.25">
      <c r="B49" s="349"/>
      <c r="C49" s="349"/>
      <c r="D49" s="5">
        <f>C$44*D44+C$45*D45+C$46*D46+C$47*D47+C$48*D48</f>
        <v>361.94746540388809</v>
      </c>
      <c r="E49" s="5">
        <f>C$44*E44+C$45*E45+C$46*E46+C$47*E47+C$48*E48</f>
        <v>248.53558877222159</v>
      </c>
      <c r="G49" s="133" t="s">
        <v>146</v>
      </c>
      <c r="H49" s="5">
        <f>((4.4/2)+(4.1/2))*C3</f>
        <v>11.1775</v>
      </c>
      <c r="I49" s="5">
        <f>$AI$11</f>
        <v>7.8000000000000007</v>
      </c>
      <c r="J49" s="5">
        <f>$AF$11</f>
        <v>6</v>
      </c>
      <c r="L49" s="349"/>
      <c r="M49" s="349"/>
      <c r="N49" s="5">
        <f>M$44*N44+M$45*N45+M$46*N46+M$47*N47+M$48*N48</f>
        <v>164.53838437500002</v>
      </c>
      <c r="O49" s="5">
        <f>M$44*O44+M$45*O45+M$46*O46+M$47*O47+M$48*O48</f>
        <v>116.96221875000001</v>
      </c>
    </row>
    <row r="50" spans="2:15" x14ac:dyDescent="0.25">
      <c r="B50" s="169" t="s">
        <v>147</v>
      </c>
      <c r="C50" s="169"/>
      <c r="D50" s="5">
        <f>$AG$14</f>
        <v>18.291</v>
      </c>
      <c r="E50" s="5">
        <f>$AF$14</f>
        <v>14.069999999999999</v>
      </c>
      <c r="G50" s="349"/>
      <c r="H50" s="349"/>
      <c r="I50" s="5">
        <f>H$44*I44+H$45*I45+H$46*I46+H$48*I48+H$49*I49</f>
        <v>261.77689987500003</v>
      </c>
      <c r="J50" s="5">
        <f>H$44*J44+H$45*J45+H$46*J46+H$48*J48+H$49*J49</f>
        <v>174.20415375000002</v>
      </c>
      <c r="L50" s="169" t="s">
        <v>147</v>
      </c>
      <c r="M50" s="169"/>
      <c r="N50" s="5">
        <f>$AG$14</f>
        <v>18.291</v>
      </c>
      <c r="O50" s="5">
        <f>$AF$14</f>
        <v>14.069999999999999</v>
      </c>
    </row>
    <row r="51" spans="2:15" x14ac:dyDescent="0.25">
      <c r="B51" s="169" t="s">
        <v>109</v>
      </c>
      <c r="C51" s="169"/>
      <c r="D51" s="5">
        <f>SUM(D49:D50)</f>
        <v>380.23846540388809</v>
      </c>
      <c r="E51" s="5">
        <f>SUM(E49:E50)</f>
        <v>262.60558877222161</v>
      </c>
      <c r="G51" s="169" t="s">
        <v>147</v>
      </c>
      <c r="H51" s="169"/>
      <c r="I51" s="5">
        <f>$AG$14</f>
        <v>18.291</v>
      </c>
      <c r="J51" s="5">
        <f>$AF$14</f>
        <v>14.069999999999999</v>
      </c>
      <c r="L51" s="169" t="s">
        <v>109</v>
      </c>
      <c r="M51" s="169"/>
      <c r="N51" s="5">
        <f>SUM(N49:N50)</f>
        <v>182.82938437500002</v>
      </c>
      <c r="O51" s="5">
        <f>SUM(O49:O50)</f>
        <v>131.03221875</v>
      </c>
    </row>
    <row r="52" spans="2:15" x14ac:dyDescent="0.25">
      <c r="G52" s="169" t="s">
        <v>109</v>
      </c>
      <c r="H52" s="169"/>
      <c r="I52" s="5">
        <f>SUM(I50:I51)</f>
        <v>280.06789987500002</v>
      </c>
      <c r="J52" s="5">
        <f>SUM(J50:J51)</f>
        <v>188.27415375000001</v>
      </c>
    </row>
  </sheetData>
  <mergeCells count="100">
    <mergeCell ref="AA9:AB9"/>
    <mergeCell ref="AA10:AB10"/>
    <mergeCell ref="AA11:AB11"/>
    <mergeCell ref="B2:C2"/>
    <mergeCell ref="B6:E6"/>
    <mergeCell ref="G6:J6"/>
    <mergeCell ref="L6:O6"/>
    <mergeCell ref="Q6:T6"/>
    <mergeCell ref="V6:Y6"/>
    <mergeCell ref="B13:C13"/>
    <mergeCell ref="L13:M13"/>
    <mergeCell ref="Q13:R13"/>
    <mergeCell ref="AA13:AB13"/>
    <mergeCell ref="B14:C14"/>
    <mergeCell ref="L14:M14"/>
    <mergeCell ref="Q14:R14"/>
    <mergeCell ref="V14:W14"/>
    <mergeCell ref="AA14:AB14"/>
    <mergeCell ref="B15:C15"/>
    <mergeCell ref="G15:H15"/>
    <mergeCell ref="L15:M15"/>
    <mergeCell ref="Q15:R15"/>
    <mergeCell ref="V15:W15"/>
    <mergeCell ref="AA19:AC19"/>
    <mergeCell ref="G16:H16"/>
    <mergeCell ref="V16:W16"/>
    <mergeCell ref="B18:E18"/>
    <mergeCell ref="G18:J18"/>
    <mergeCell ref="L18:O18"/>
    <mergeCell ref="Q18:T18"/>
    <mergeCell ref="V18:Y18"/>
    <mergeCell ref="V26:W26"/>
    <mergeCell ref="AA20:AC20"/>
    <mergeCell ref="AA21:AC21"/>
    <mergeCell ref="B25:C25"/>
    <mergeCell ref="G25:H25"/>
    <mergeCell ref="Q25:R25"/>
    <mergeCell ref="V25:W25"/>
    <mergeCell ref="AK19:AN19"/>
    <mergeCell ref="L28:M28"/>
    <mergeCell ref="B30:E30"/>
    <mergeCell ref="G30:J30"/>
    <mergeCell ref="L30:O30"/>
    <mergeCell ref="Q30:T30"/>
    <mergeCell ref="V30:Y30"/>
    <mergeCell ref="B27:C27"/>
    <mergeCell ref="G27:H27"/>
    <mergeCell ref="L27:M27"/>
    <mergeCell ref="Q27:R27"/>
    <mergeCell ref="V27:W27"/>
    <mergeCell ref="B26:C26"/>
    <mergeCell ref="G26:H26"/>
    <mergeCell ref="L26:M26"/>
    <mergeCell ref="Q26:R26"/>
    <mergeCell ref="G37:H37"/>
    <mergeCell ref="L37:M37"/>
    <mergeCell ref="V37:W37"/>
    <mergeCell ref="B38:C38"/>
    <mergeCell ref="G38:H38"/>
    <mergeCell ref="L38:M38"/>
    <mergeCell ref="Q38:R38"/>
    <mergeCell ref="V38:W38"/>
    <mergeCell ref="G39:H39"/>
    <mergeCell ref="L39:M39"/>
    <mergeCell ref="Q39:R39"/>
    <mergeCell ref="V39:W39"/>
    <mergeCell ref="B40:C40"/>
    <mergeCell ref="Q40:R40"/>
    <mergeCell ref="B51:C51"/>
    <mergeCell ref="G51:H51"/>
    <mergeCell ref="L51:M51"/>
    <mergeCell ref="G52:H52"/>
    <mergeCell ref="AK9:AN9"/>
    <mergeCell ref="AK10:AN10"/>
    <mergeCell ref="AK11:AN11"/>
    <mergeCell ref="B42:E42"/>
    <mergeCell ref="G42:J42"/>
    <mergeCell ref="L42:O42"/>
    <mergeCell ref="B49:C49"/>
    <mergeCell ref="L49:M49"/>
    <mergeCell ref="B50:C50"/>
    <mergeCell ref="G50:H50"/>
    <mergeCell ref="L50:M50"/>
    <mergeCell ref="B39:C39"/>
    <mergeCell ref="AK6:AQ6"/>
    <mergeCell ref="AK7:AN7"/>
    <mergeCell ref="AA18:AD18"/>
    <mergeCell ref="AK13:AN13"/>
    <mergeCell ref="AK14:AN14"/>
    <mergeCell ref="AK15:AN15"/>
    <mergeCell ref="AK16:AN16"/>
    <mergeCell ref="AK17:AN17"/>
    <mergeCell ref="AK18:AN18"/>
    <mergeCell ref="AK8:AN8"/>
    <mergeCell ref="AK12:AN12"/>
    <mergeCell ref="AA15:AB15"/>
    <mergeCell ref="AA12:AB12"/>
    <mergeCell ref="AA6:AB6"/>
    <mergeCell ref="AA7:AB7"/>
    <mergeCell ref="AA8:AB8"/>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Carichi unitari</vt:lpstr>
      <vt:lpstr>Dati (CD"A")</vt:lpstr>
      <vt:lpstr>Analisi dei Carichi F.O.</vt:lpstr>
      <vt:lpstr>Forze Orizzontali CD"A"</vt:lpstr>
      <vt:lpstr>Dimensionamento CD"A"</vt:lpstr>
      <vt:lpstr>Campate  del 1° 2° 3° impalcato</vt:lpstr>
      <vt:lpstr>Campate del 4° 5° impalcato</vt:lpstr>
      <vt:lpstr>Campate  del 6° impalcato</vt:lpstr>
      <vt:lpstr> PIL del 1° 2° 3° impalcato</vt:lpstr>
      <vt:lpstr> PIL del 4° 5° impalcato</vt:lpstr>
      <vt:lpstr> PIL del 6° impalcato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2016-11-11T16:43:12Z</cp:lastPrinted>
  <dcterms:created xsi:type="dcterms:W3CDTF">2015-12-09T08:49:50Z</dcterms:created>
  <dcterms:modified xsi:type="dcterms:W3CDTF">2017-03-13T10:38:05Z</dcterms:modified>
</cp:coreProperties>
</file>